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drawings/drawing37.xml" ContentType="application/vnd.openxmlformats-officedocument.drawing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drawings/drawing38.xml" ContentType="application/vnd.openxmlformats-officedocument.drawing+xml"/>
  <Override PartName="/xl/worksheets/sheet44.xml" ContentType="application/vnd.openxmlformats-officedocument.spreadsheetml.worksheet+xml"/>
  <Override PartName="/xl/drawings/drawing39.xml" ContentType="application/vnd.openxmlformats-officedocument.drawing+xml"/>
  <Override PartName="/xl/worksheets/sheet45.xml" ContentType="application/vnd.openxmlformats-officedocument.spreadsheetml.worksheet+xml"/>
  <Override PartName="/xl/drawings/drawing40.xml" ContentType="application/vnd.openxmlformats-officedocument.drawing+xml"/>
  <Override PartName="/xl/worksheets/sheet46.xml" ContentType="application/vnd.openxmlformats-officedocument.spreadsheetml.worksheet+xml"/>
  <Override PartName="/xl/drawings/drawing41.xml" ContentType="application/vnd.openxmlformats-officedocument.drawing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42.xml" ContentType="application/vnd.openxmlformats-officedocument.drawing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drawings/drawing43.xml" ContentType="application/vnd.openxmlformats-officedocument.drawing+xml"/>
  <Override PartName="/xl/worksheets/sheet52.xml" ContentType="application/vnd.openxmlformats-officedocument.spreadsheetml.worksheet+xml"/>
  <Override PartName="/xl/drawings/drawing44.xml" ContentType="application/vnd.openxmlformats-officedocument.drawing+xml"/>
  <Override PartName="/xl/worksheets/sheet53.xml" ContentType="application/vnd.openxmlformats-officedocument.spreadsheetml.worksheet+xml"/>
  <Override PartName="/xl/drawings/drawing45.xml" ContentType="application/vnd.openxmlformats-officedocument.drawing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drawings/drawing46.xml" ContentType="application/vnd.openxmlformats-officedocument.drawing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126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หลัก" sheetId="1" state="visible" r:id="rId1"/>
    <sheet xmlns:r="http://schemas.openxmlformats.org/officeDocument/2006/relationships" name="ฉบับเต็ม" sheetId="2" state="visible" r:id="rId2"/>
    <sheet xmlns:r="http://schemas.openxmlformats.org/officeDocument/2006/relationships" name="แดชบอร์ด" sheetId="3" state="visible" r:id="rId3"/>
    <sheet xmlns:r="http://schemas.openxmlformats.org/officeDocument/2006/relationships" name="วิธีใช้" sheetId="4" state="visible" r:id="rId4"/>
    <sheet xmlns:r="http://schemas.openxmlformats.org/officeDocument/2006/relationships" name="ข้อมูลโรงเรียน" sheetId="5" state="visible" r:id="rId5"/>
    <sheet xmlns:r="http://schemas.openxmlformats.org/officeDocument/2006/relationships" name="ข้อมูลนักเรียน" sheetId="6" state="visible" r:id="rId6"/>
    <sheet xmlns:r="http://schemas.openxmlformats.org/officeDocument/2006/relationships" name="ผู้รับ-ส่ง" sheetId="7" state="hidden" r:id="rId7"/>
    <sheet xmlns:r="http://schemas.openxmlformats.org/officeDocument/2006/relationships" name="บันทึกรับ-ส่ง" sheetId="8" state="hidden" r:id="rId8"/>
    <sheet xmlns:r="http://schemas.openxmlformats.org/officeDocument/2006/relationships" name="ใบรับ-ส่งรายวัน" sheetId="9" state="hidden" r:id="rId9"/>
    <sheet xmlns:r="http://schemas.openxmlformats.org/officeDocument/2006/relationships" name="มาเรียน-ภ1" sheetId="10" state="visible" r:id="rId10"/>
    <sheet xmlns:r="http://schemas.openxmlformats.org/officeDocument/2006/relationships" name="มาเรียน-ภ2" sheetId="11" state="visible" r:id="rId11"/>
    <sheet xmlns:r="http://schemas.openxmlformats.org/officeDocument/2006/relationships" name="สรุปมาเรียน" sheetId="12" state="visible" r:id="rId12"/>
    <sheet xmlns:r="http://schemas.openxmlformats.org/officeDocument/2006/relationships" name="ประเมินพัฒนาการ-ภ1" sheetId="13" state="hidden" r:id="rId13"/>
    <sheet xmlns:r="http://schemas.openxmlformats.org/officeDocument/2006/relationships" name="ประเมินพัฒนาการ-ภ2" sheetId="14" state="hidden" r:id="rId14"/>
    <sheet xmlns:r="http://schemas.openxmlformats.org/officeDocument/2006/relationships" name="น้ำหนักส่วนสูง" sheetId="15" state="visible" r:id="rId15"/>
    <sheet xmlns:r="http://schemas.openxmlformats.org/officeDocument/2006/relationships" name="ตรวจสุขภาพ-ภ1" sheetId="16" state="hidden" r:id="rId16"/>
    <sheet xmlns:r="http://schemas.openxmlformats.org/officeDocument/2006/relationships" name="ตรวจสุขภาพ-ภ2" sheetId="17" state="hidden" r:id="rId17"/>
    <sheet xmlns:r="http://schemas.openxmlformats.org/officeDocument/2006/relationships" name="ดื่มนม-ภ1" sheetId="18" state="visible" r:id="rId18"/>
    <sheet xmlns:r="http://schemas.openxmlformats.org/officeDocument/2006/relationships" name="ดื่มนม-ภ2" sheetId="19" state="visible" r:id="rId19"/>
    <sheet xmlns:r="http://schemas.openxmlformats.org/officeDocument/2006/relationships" name="แปรงฟัน-ภ1" sheetId="20" state="visible" r:id="rId20"/>
    <sheet xmlns:r="http://schemas.openxmlformats.org/officeDocument/2006/relationships" name="แปรงฟัน-ภ2" sheetId="21" state="visible" r:id="rId21"/>
    <sheet xmlns:r="http://schemas.openxmlformats.org/officeDocument/2006/relationships" name="อาหารกลางวัน-ภ1" sheetId="22" state="visible" r:id="rId22"/>
    <sheet xmlns:r="http://schemas.openxmlformats.org/officeDocument/2006/relationships" name="อาหารกลางวัน-ภ2" sheetId="23" state="visible" r:id="rId23"/>
    <sheet xmlns:r="http://schemas.openxmlformats.org/officeDocument/2006/relationships" name="นอนกลางวัน-ภ1" sheetId="24" state="hidden" r:id="rId24"/>
    <sheet xmlns:r="http://schemas.openxmlformats.org/officeDocument/2006/relationships" name="นอนกลางวัน-ภ2" sheetId="25" state="hidden" r:id="rId25"/>
    <sheet xmlns:r="http://schemas.openxmlformats.org/officeDocument/2006/relationships" name="ขับถ่าย-ภ1" sheetId="26" state="hidden" r:id="rId26"/>
    <sheet xmlns:r="http://schemas.openxmlformats.org/officeDocument/2006/relationships" name="ขับถ่าย-ภ2" sheetId="27" state="hidden" r:id="rId27"/>
    <sheet xmlns:r="http://schemas.openxmlformats.org/officeDocument/2006/relationships" name="ออกกำลังกาย-ภ1" sheetId="28" state="hidden" r:id="rId28"/>
    <sheet xmlns:r="http://schemas.openxmlformats.org/officeDocument/2006/relationships" name="ออกกำลังกาย-ภ2" sheetId="29" state="hidden" r:id="rId29"/>
    <sheet xmlns:r="http://schemas.openxmlformats.org/officeDocument/2006/relationships" name="เสาธง-ภ1" sheetId="30" state="hidden" r:id="rId30"/>
    <sheet xmlns:r="http://schemas.openxmlformats.org/officeDocument/2006/relationships" name="เสาธง-ภ2" sheetId="31" state="hidden" r:id="rId31"/>
    <sheet xmlns:r="http://schemas.openxmlformats.org/officeDocument/2006/relationships" name="ทำความสะอาด-ภ1" sheetId="32" state="hidden" r:id="rId32"/>
    <sheet xmlns:r="http://schemas.openxmlformats.org/officeDocument/2006/relationships" name="ทำความสะอาด-ภ2" sheetId="33" state="hidden" r:id="rId33"/>
    <sheet xmlns:r="http://schemas.openxmlformats.org/officeDocument/2006/relationships" name="ออมเงิน-ภ1" sheetId="34" state="hidden" r:id="rId34"/>
    <sheet xmlns:r="http://schemas.openxmlformats.org/officeDocument/2006/relationships" name="ออมเงิน-ภ2" sheetId="35" state="hidden" r:id="rId35"/>
    <sheet xmlns:r="http://schemas.openxmlformats.org/officeDocument/2006/relationships" name="ถอนเงิน" sheetId="36" state="hidden" r:id="rId36"/>
    <sheet xmlns:r="http://schemas.openxmlformats.org/officeDocument/2006/relationships" name="สรุปออมเงิน" sheetId="37" state="hidden" r:id="rId37"/>
    <sheet xmlns:r="http://schemas.openxmlformats.org/officeDocument/2006/relationships" name="สมุดพก" sheetId="38" state="hidden" r:id="rId38"/>
    <sheet xmlns:r="http://schemas.openxmlformats.org/officeDocument/2006/relationships" name="สมุดพก-ทั้งห้อง" sheetId="39" state="hidden" r:id="rId39"/>
    <sheet xmlns:r="http://schemas.openxmlformats.org/officeDocument/2006/relationships" name="สมุดสื่อสาร" sheetId="40" state="hidden" r:id="rId40"/>
    <sheet xmlns:r="http://schemas.openxmlformats.org/officeDocument/2006/relationships" name="เยี่ยมบ้าน" sheetId="41" state="hidden" r:id="rId41"/>
    <sheet xmlns:r="http://schemas.openxmlformats.org/officeDocument/2006/relationships" name="พิมพ์เยี่ยมบ้าน" sheetId="42" state="hidden" r:id="rId42"/>
    <sheet xmlns:r="http://schemas.openxmlformats.org/officeDocument/2006/relationships" name="คัดกรองนักเรียน" sheetId="43" state="hidden" r:id="rId43"/>
    <sheet xmlns:r="http://schemas.openxmlformats.org/officeDocument/2006/relationships" name="พิมพ์รายงาน" sheetId="44" state="hidden" r:id="rId44"/>
    <sheet xmlns:r="http://schemas.openxmlformats.org/officeDocument/2006/relationships" name="งบอาหาร-นม" sheetId="45" state="hidden" r:id="rId45"/>
    <sheet xmlns:r="http://schemas.openxmlformats.org/officeDocument/2006/relationships" name="เงินอุดหนุน" sheetId="46" state="hidden" r:id="rId46"/>
    <sheet xmlns:r="http://schemas.openxmlformats.org/officeDocument/2006/relationships" name="ใบรับเงิน" sheetId="47" state="hidden" r:id="rId47"/>
    <sheet xmlns:r="http://schemas.openxmlformats.org/officeDocument/2006/relationships" name="บัญชีรายรับ-จ่าย" sheetId="48" state="hidden" r:id="rId48"/>
    <sheet xmlns:r="http://schemas.openxmlformats.org/officeDocument/2006/relationships" name="ป้ายชื่อ" sheetId="49" state="hidden" r:id="rId49"/>
    <sheet xmlns:r="http://schemas.openxmlformats.org/officeDocument/2006/relationships" name="บัตรนักเรียน" sheetId="50" state="hidden" r:id="rId50"/>
    <sheet xmlns:r="http://schemas.openxmlformats.org/officeDocument/2006/relationships" name="เกียรติบัตร" sheetId="51" state="hidden" r:id="rId51"/>
    <sheet xmlns:r="http://schemas.openxmlformats.org/officeDocument/2006/relationships" name="เกียรติบัตร-ทั้งห้อง" sheetId="52" state="hidden" r:id="rId52"/>
    <sheet xmlns:r="http://schemas.openxmlformats.org/officeDocument/2006/relationships" name="วันเกิด" sheetId="53" state="hidden" r:id="rId53"/>
    <sheet xmlns:r="http://schemas.openxmlformats.org/officeDocument/2006/relationships" name="ใบรายชื่อ" sheetId="54" state="hidden" r:id="rId54"/>
    <sheet xmlns:r="http://schemas.openxmlformats.org/officeDocument/2006/relationships" name="ยกข้อมูลปีถัดไป" sheetId="55" state="hidden" r:id="rId55"/>
    <sheet xmlns:r="http://schemas.openxmlformats.org/officeDocument/2006/relationships" name="ปฏิทิน" sheetId="56" state="hidden" r:id="rId56"/>
    <sheet xmlns:r="http://schemas.openxmlformats.org/officeDocument/2006/relationships" name="เกณฑ์WHO" sheetId="57" state="hidden" r:id="rId57"/>
  </sheets>
  <definedNames>
    <definedName name="_xlnm.Print_Area" localSheetId="0">'หน้าหลัก'!$A$1:$M$64</definedName>
    <definedName name="_xlnm.Print_Area" localSheetId="2">'แดชบอร์ด'!$A$1:$Z$96</definedName>
    <definedName name="_xlnm.Print_Titles" localSheetId="5">'ข้อมูลนักเรียน'!$1:$7,'ข้อมูลนักเรียน'!$A:$B</definedName>
    <definedName name="_xlnm.Print_Titles" localSheetId="6">'ผู้รับ-ส่ง'!$1:$8,'ผู้รับ-ส่ง'!$A:$B</definedName>
    <definedName name="_xlnm.Print_Titles" localSheetId="7">'บันทึกรับ-ส่ง'!$1:$6</definedName>
    <definedName name="_xlnm.Print_Area" localSheetId="8">'ใบรับ-ส่งรายวัน'!$A$1:$H$16</definedName>
    <definedName name="_xlnm.Print_Titles" localSheetId="9">'มาเรียน-ภ1'!$1:$8,'มาเรียน-ภ1'!$A:$C</definedName>
    <definedName name="_xlnm.Print_Titles" localSheetId="10">'มาเรียน-ภ2'!$1:$8,'มาเรียน-ภ2'!$A:$C</definedName>
    <definedName name="_xlnm.Print_Titles" localSheetId="11">'สรุปมาเรียน'!$1:$8,'สรุปมาเรียน'!$A:$C</definedName>
    <definedName name="_xlnm.Print_Titles" localSheetId="12">'ประเมินพัฒนาการ-ภ1'!$1:$8,'ประเมินพัฒนาการ-ภ1'!$A:$C</definedName>
    <definedName name="_xlnm.Print_Titles" localSheetId="13">'ประเมินพัฒนาการ-ภ2'!$1:$8,'ประเมินพัฒนาการ-ภ2'!$A:$C</definedName>
    <definedName name="_xlnm.Print_Titles" localSheetId="14">'น้ำหนักส่วนสูง'!$1:$8,'น้ำหนักส่วนสูง'!$A:$C</definedName>
    <definedName name="_xlnm.Print_Titles" localSheetId="15">'ตรวจสุขภาพ-ภ1'!$1:$8,'ตรวจสุขภาพ-ภ1'!$A:$C</definedName>
    <definedName name="_xlnm.Print_Titles" localSheetId="16">'ตรวจสุขภาพ-ภ2'!$1:$8,'ตรวจสุขภาพ-ภ2'!$A:$C</definedName>
    <definedName name="_xlnm.Print_Titles" localSheetId="17">'ดื่มนม-ภ1'!$1:$8,'ดื่มนม-ภ1'!$A:$C</definedName>
    <definedName name="_xlnm.Print_Titles" localSheetId="18">'ดื่มนม-ภ2'!$1:$8,'ดื่มนม-ภ2'!$A:$C</definedName>
    <definedName name="_xlnm.Print_Titles" localSheetId="19">'แปรงฟัน-ภ1'!$1:$8,'แปรงฟัน-ภ1'!$A:$C</definedName>
    <definedName name="_xlnm.Print_Titles" localSheetId="20">'แปรงฟัน-ภ2'!$1:$8,'แปรงฟัน-ภ2'!$A:$C</definedName>
    <definedName name="_xlnm.Print_Titles" localSheetId="21">'อาหารกลางวัน-ภ1'!$1:$8,'อาหารกลางวัน-ภ1'!$A:$C</definedName>
    <definedName name="_xlnm.Print_Titles" localSheetId="22">'อาหารกลางวัน-ภ2'!$1:$8,'อาหารกลางวัน-ภ2'!$A:$C</definedName>
    <definedName name="_xlnm.Print_Titles" localSheetId="23">'นอนกลางวัน-ภ1'!$1:$8,'นอนกลางวัน-ภ1'!$A:$C</definedName>
    <definedName name="_xlnm.Print_Titles" localSheetId="24">'นอนกลางวัน-ภ2'!$1:$8,'นอนกลางวัน-ภ2'!$A:$C</definedName>
    <definedName name="_xlnm.Print_Titles" localSheetId="25">'ขับถ่าย-ภ1'!$1:$8,'ขับถ่าย-ภ1'!$A:$C</definedName>
    <definedName name="_xlnm.Print_Titles" localSheetId="26">'ขับถ่าย-ภ2'!$1:$8,'ขับถ่าย-ภ2'!$A:$C</definedName>
    <definedName name="_xlnm.Print_Titles" localSheetId="27">'ออกกำลังกาย-ภ1'!$1:$8,'ออกกำลังกาย-ภ1'!$A:$C</definedName>
    <definedName name="_xlnm.Print_Titles" localSheetId="28">'ออกกำลังกาย-ภ2'!$1:$8,'ออกกำลังกาย-ภ2'!$A:$C</definedName>
    <definedName name="_xlnm.Print_Titles" localSheetId="29">'เสาธง-ภ1'!$1:$8,'เสาธง-ภ1'!$A:$C</definedName>
    <definedName name="_xlnm.Print_Titles" localSheetId="30">'เสาธง-ภ2'!$1:$8,'เสาธง-ภ2'!$A:$C</definedName>
    <definedName name="_xlnm.Print_Titles" localSheetId="31">'ทำความสะอาด-ภ1'!$1:$8,'ทำความสะอาด-ภ1'!$A:$C</definedName>
    <definedName name="_xlnm.Print_Titles" localSheetId="32">'ทำความสะอาด-ภ2'!$1:$8,'ทำความสะอาด-ภ2'!$A:$C</definedName>
    <definedName name="_xlnm.Print_Titles" localSheetId="33">'ออมเงิน-ภ1'!$1:$8,'ออมเงิน-ภ1'!$A:$C</definedName>
    <definedName name="_xlnm.Print_Titles" localSheetId="34">'ออมเงิน-ภ2'!$1:$8,'ออมเงิน-ภ2'!$A:$C</definedName>
    <definedName name="_xlnm.Print_Titles" localSheetId="35">'ถอนเงิน'!$1:$6</definedName>
    <definedName name="_xlnm.Print_Titles" localSheetId="36">'สรุปออมเงิน'!$1:$8,'สรุปออมเงิน'!$A:$C</definedName>
    <definedName name="_xlnm.Print_Area" localSheetId="37">'สมุดพก'!$A$1:$H$46</definedName>
    <definedName name="_xlnm.Print_Area" localSheetId="38">'สมุดพก-ทั้งห้อง'!$A$1:$H$240</definedName>
    <definedName name="_xlnm.Print_Area" localSheetId="39">'สมุดสื่อสาร'!$A$1:$H$125</definedName>
    <definedName name="_xlnm.Print_Titles" localSheetId="40">'เยี่ยมบ้าน'!$1:$8,'เยี่ยมบ้าน'!$A:$B</definedName>
    <definedName name="_xlnm.Print_Area" localSheetId="41">'พิมพ์เยี่ยมบ้าน'!$A$1:$H$48</definedName>
    <definedName name="_xlnm.Print_Titles" localSheetId="42">'คัดกรองนักเรียน'!$1:$8,'คัดกรองนักเรียน'!$A:$C</definedName>
    <definedName name="_xlnm.Print_Area" localSheetId="43">'พิมพ์รายงาน'!$A$1:$AK$21</definedName>
    <definedName name="_xlnm.Print_Area" localSheetId="44">'งบอาหาร-นม'!$A$1:$J$31</definedName>
    <definedName name="_xlnm.Print_Area" localSheetId="45">'เงินอุดหนุน'!$A$1:$I$12</definedName>
    <definedName name="_xlnm.Print_Area" localSheetId="46">'ใบรับเงิน'!$A$1:$H$18</definedName>
    <definedName name="_xlnm.Print_Titles" localSheetId="47">'บัญชีรายรับ-จ่าย'!$1:$5</definedName>
    <definedName name="_xlnm.Print_Area" localSheetId="47">'บัญชีรายรับ-จ่าย'!$A$1:$H$205</definedName>
    <definedName name="_xlnm.Print_Area" localSheetId="48">'ป้ายชื่อ'!$A$1:$D$18</definedName>
    <definedName name="_xlnm.Print_Area" localSheetId="49">'บัตรนักเรียน'!$A$1:$H$30</definedName>
    <definedName name="_xlnm.Print_Area" localSheetId="50">'เกียรติบัตร'!$A$1:$L$30</definedName>
    <definedName name="_xlnm.Print_Area" localSheetId="51">'เกียรติบัตร-ทั้งห้อง'!$A$1:$L$150</definedName>
    <definedName name="_xlnm.Print_Area" localSheetId="52">'วันเกิด'!$A$1:$M$42</definedName>
    <definedName name="_xlnm.Print_Area" localSheetId="53">'ใบรายชื่อ'!$A$1:$R$10</definedName>
    <definedName name="_xlnm.Print_Area" localSheetId="54">'ยกข้อมูลปีถัดไป'!$A$1:$U$18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327">
    <font>
      <name val="Calibri"/>
      <family val="2"/>
      <color theme="1"/>
      <sz val="11"/>
      <scheme val="minor"/>
    </font>
    <font>
      <name val="Tahoma"/>
      <b val="1"/>
      <color rgb="00185C95"/>
      <sz val="16"/>
    </font>
    <font>
      <name val="Tahoma"/>
      <b val="1"/>
      <color rgb="00185C95"/>
      <sz val="7"/>
    </font>
    <font>
      <name val="Tahoma"/>
      <color rgb="005C5470"/>
      <sz val="9"/>
    </font>
    <font>
      <name val="Tahoma"/>
      <b val="1"/>
      <color rgb="001864AB"/>
      <sz val="12"/>
    </font>
    <font>
      <name val="Tahoma"/>
      <b val="1"/>
      <color rgb="001864AB"/>
      <sz val="10"/>
    </font>
    <font>
      <name val="Tahoma"/>
      <color rgb="00212529"/>
      <sz val="10"/>
    </font>
    <font>
      <name val="Tahoma"/>
      <b val="1"/>
      <color rgb="00212529"/>
      <sz val="9"/>
    </font>
    <font>
      <name val="Tahoma"/>
      <color rgb="00495057"/>
      <sz val="9"/>
    </font>
    <font>
      <name val="Tahoma"/>
      <b val="1"/>
      <color rgb="00C92A2A"/>
      <sz val="12"/>
    </font>
    <font>
      <name val="Tahoma"/>
      <color rgb="00212529"/>
      <sz val="9"/>
    </font>
    <font>
      <name val="Tahoma"/>
      <color rgb="00495057"/>
      <sz val="8"/>
    </font>
    <font>
      <name val="Tahoma"/>
      <b val="1"/>
      <color rgb="00185D95"/>
      <sz val="16"/>
    </font>
    <font>
      <name val="Tahoma"/>
      <b val="1"/>
      <color rgb="00185D95"/>
      <sz val="7"/>
    </font>
    <font>
      <name val="Tahoma"/>
      <i val="1"/>
      <color rgb="001864AB"/>
      <sz val="9"/>
    </font>
    <font>
      <name val="Tahoma"/>
      <b val="1"/>
      <color rgb="00FFFFFF"/>
      <sz val="9"/>
    </font>
    <font>
      <name val="Tahoma"/>
      <i val="1"/>
      <color rgb="00212529"/>
      <sz val="8"/>
    </font>
    <font>
      <name val="Tahoma"/>
      <i val="1"/>
      <color rgb="00868E96"/>
      <sz val="9"/>
    </font>
    <font>
      <name val="Tahoma"/>
      <b val="1"/>
      <color rgb="00951818"/>
      <sz val="16"/>
    </font>
    <font>
      <name val="Tahoma"/>
      <b val="1"/>
      <color rgb="00951818"/>
      <sz val="7"/>
    </font>
    <font>
      <name val="Tahoma"/>
      <b val="1"/>
      <color rgb="00C92A2A"/>
      <sz val="9"/>
    </font>
    <font>
      <name val="Tahoma"/>
      <b val="1"/>
      <color rgb="00212529"/>
      <sz val="10"/>
    </font>
    <font>
      <name val="Tahoma"/>
      <b val="1"/>
      <color rgb="00212529"/>
      <sz val="8"/>
    </font>
    <font>
      <name val="Tahoma"/>
      <b val="1"/>
      <color rgb="00FFFFFF"/>
      <sz val="11"/>
    </font>
    <font>
      <name val="Tahoma"/>
      <color rgb="00495057"/>
      <sz val="6"/>
    </font>
    <font>
      <name val="Tahoma"/>
      <b val="1"/>
      <color rgb="00FFFFFF"/>
      <sz val="7"/>
    </font>
    <font>
      <name val="Tahoma"/>
      <b val="1"/>
      <color rgb="00FFFFFF"/>
      <sz val="10"/>
    </font>
    <font>
      <name val="Tahoma"/>
      <b val="1"/>
      <color rgb="00C92A2A"/>
      <sz val="8"/>
    </font>
    <font>
      <name val="Tahoma"/>
      <b val="1"/>
      <color rgb="00C92A2A"/>
      <sz val="7"/>
    </font>
    <font>
      <name val="Tahoma"/>
      <b val="1"/>
      <color rgb="00495057"/>
      <sz val="9"/>
    </font>
    <font>
      <name val="Tahoma"/>
      <b val="1"/>
      <color rgb="001864AB"/>
      <sz val="9"/>
    </font>
    <font>
      <name val="Tahoma"/>
      <b val="1"/>
      <color rgb="001864AB"/>
      <sz val="8"/>
    </font>
    <font>
      <name val="Tahoma"/>
      <b val="1"/>
      <color rgb="001864AB"/>
      <sz val="7"/>
    </font>
    <font>
      <name val="Tahoma"/>
      <b val="1"/>
      <color rgb="00188495"/>
      <sz val="16"/>
    </font>
    <font>
      <name val="Tahoma"/>
      <b val="1"/>
      <color rgb="00188495"/>
      <sz val="7"/>
    </font>
    <font>
      <name val="Tahoma"/>
      <b val="1"/>
      <color rgb="000B7285"/>
      <sz val="9"/>
    </font>
    <font>
      <name val="Tahoma"/>
      <b val="1"/>
      <color rgb="000B7285"/>
      <sz val="8"/>
    </font>
    <font>
      <name val="Tahoma"/>
      <b val="1"/>
      <color rgb="000B7285"/>
      <sz val="7"/>
    </font>
    <font>
      <name val="Tahoma"/>
      <b val="1"/>
      <color rgb="00956F18"/>
      <sz val="16"/>
    </font>
    <font>
      <name val="Tahoma"/>
      <b val="1"/>
      <color rgb="00956F18"/>
      <sz val="7"/>
    </font>
    <font>
      <name val="Tahoma"/>
      <b val="1"/>
      <color rgb="00E67700"/>
      <sz val="9"/>
    </font>
    <font>
      <name val="Tahoma"/>
      <b val="1"/>
      <color rgb="00E67700"/>
      <sz val="8"/>
    </font>
    <font>
      <name val="Tahoma"/>
      <b val="1"/>
      <color rgb="00E67700"/>
      <sz val="7"/>
    </font>
    <font>
      <name val="Tahoma"/>
      <b val="1"/>
      <color rgb="00E67700"/>
      <sz val="10"/>
    </font>
    <font>
      <name val="Tahoma"/>
      <b val="1"/>
      <color rgb="00951843"/>
      <sz val="16"/>
    </font>
    <font>
      <name val="Tahoma"/>
      <b val="1"/>
      <color rgb="00951843"/>
      <sz val="7"/>
    </font>
    <font>
      <name val="Tahoma"/>
      <b val="1"/>
      <color rgb="00C2255C"/>
      <sz val="9"/>
    </font>
    <font>
      <name val="Tahoma"/>
      <b val="1"/>
      <color rgb="00C2255C"/>
      <sz val="8"/>
    </font>
    <font>
      <name val="Tahoma"/>
      <color rgb="00495057"/>
      <sz val="7"/>
    </font>
    <font>
      <name val="Tahoma"/>
      <b val="1"/>
      <color rgb="00C2255C"/>
      <sz val="7"/>
    </font>
    <font>
      <name val="Tahoma"/>
      <b val="1"/>
      <color rgb="00FFFFFF"/>
      <sz val="8"/>
    </font>
    <font>
      <name val="Tahoma"/>
      <b val="1"/>
      <color rgb="00C2255C"/>
      <sz val="10"/>
    </font>
    <font>
      <name val="Tahoma"/>
      <b val="1"/>
      <color rgb="00371895"/>
      <sz val="16"/>
    </font>
    <font>
      <name val="Tahoma"/>
      <b val="1"/>
      <color rgb="00371895"/>
      <sz val="7"/>
    </font>
    <font>
      <name val="Tahoma"/>
      <b val="1"/>
      <color rgb="005F3DC4"/>
      <sz val="9"/>
    </font>
    <font>
      <name val="Tahoma"/>
      <color rgb="00212529"/>
      <sz val="7"/>
    </font>
    <font>
      <name val="Tahoma"/>
      <b val="1"/>
      <color rgb="005F3DC4"/>
      <sz val="7"/>
    </font>
    <font>
      <name val="Tahoma"/>
      <color rgb="00212529"/>
      <sz val="8"/>
    </font>
    <font>
      <name val="Tahoma"/>
      <b val="1"/>
      <color rgb="005F3DC4"/>
      <sz val="8"/>
    </font>
    <font>
      <name val="Tahoma"/>
      <b val="1"/>
      <color rgb="005F3DC4"/>
      <sz val="10"/>
    </font>
    <font>
      <name val="Tahoma"/>
      <b val="1"/>
      <color rgb="002B8A3E"/>
      <sz val="9"/>
    </font>
    <font>
      <name val="Tahoma"/>
      <b val="1"/>
      <color rgb="00955518"/>
      <sz val="16"/>
    </font>
    <font>
      <name val="Tahoma"/>
      <b val="1"/>
      <color rgb="00955518"/>
      <sz val="7"/>
    </font>
    <font>
      <name val="Tahoma"/>
      <b val="1"/>
      <color rgb="00D9480F"/>
      <sz val="9"/>
    </font>
    <font>
      <name val="Tahoma"/>
      <b val="1"/>
      <color rgb="00D9480F"/>
      <sz val="8"/>
    </font>
    <font>
      <name val="Tahoma"/>
      <b val="1"/>
      <color rgb="00D9480F"/>
      <sz val="7"/>
    </font>
    <font>
      <name val="Tahoma"/>
      <b val="1"/>
      <color rgb="00189570"/>
      <sz val="16"/>
    </font>
    <font>
      <name val="Tahoma"/>
      <b val="1"/>
      <color rgb="00189570"/>
      <sz val="7"/>
    </font>
    <font>
      <name val="Tahoma"/>
      <b val="1"/>
      <color rgb="00087F5B"/>
      <sz val="9"/>
    </font>
    <font>
      <name val="Tahoma"/>
      <b val="1"/>
      <color rgb="00087F5B"/>
      <sz val="8"/>
    </font>
    <font>
      <name val="Tahoma"/>
      <b val="1"/>
      <color rgb="00087F5B"/>
      <sz val="7"/>
    </font>
    <font>
      <name val="Tahoma"/>
      <b val="1"/>
      <color rgb="00381895"/>
      <sz val="16"/>
    </font>
    <font>
      <name val="Tahoma"/>
      <b val="1"/>
      <color rgb="00381895"/>
      <sz val="7"/>
    </font>
    <font>
      <name val="Tahoma"/>
      <b val="1"/>
      <color rgb="002B823B"/>
      <sz val="16"/>
    </font>
    <font>
      <name val="Tahoma"/>
      <b val="1"/>
      <color rgb="002B823B"/>
      <sz val="7"/>
    </font>
    <font>
      <name val="Tahoma"/>
      <b val="1"/>
      <color rgb="002B8A3E"/>
      <sz val="8"/>
    </font>
    <font>
      <name val="Tahoma"/>
      <b val="1"/>
      <color rgb="002B8A3E"/>
      <sz val="7"/>
    </font>
    <font>
      <name val="Tahoma"/>
      <i val="1"/>
      <color rgb="00C92A2A"/>
      <sz val="8"/>
    </font>
    <font>
      <name val="Tahoma"/>
      <b val="1"/>
      <color rgb="00343A40"/>
      <sz val="7"/>
    </font>
    <font>
      <name val="Tahoma"/>
      <color rgb="00343A40"/>
      <sz val="7"/>
    </font>
    <font>
      <name val="Tahoma"/>
      <b val="1"/>
      <color rgb="00A61E4D"/>
      <sz val="7"/>
    </font>
    <font>
      <name val="Tahoma"/>
      <b val="1"/>
      <color rgb="00951844"/>
      <sz val="16"/>
    </font>
    <font>
      <name val="Tahoma"/>
      <b val="1"/>
      <color rgb="00951844"/>
      <sz val="7"/>
    </font>
    <font>
      <name val="Tahoma"/>
      <b val="1"/>
      <color rgb="00A61E4D"/>
      <sz val="9"/>
    </font>
    <font>
      <name val="Tahoma"/>
      <b val="1"/>
      <color rgb="00A61E4D"/>
      <sz val="8"/>
    </font>
    <font>
      <name val="Tahoma"/>
      <b val="1"/>
      <color rgb="00A61E4D"/>
      <sz val="11"/>
    </font>
    <font>
      <name val="Tahoma"/>
      <b val="1"/>
      <color rgb="000B7285"/>
      <sz val="11"/>
    </font>
    <font>
      <name val="Tahoma"/>
      <b val="1"/>
      <color rgb="00FFFFFF"/>
      <sz val="14"/>
    </font>
    <font>
      <name val="Tahoma"/>
      <color rgb="00FFFFFF"/>
      <sz val="9"/>
    </font>
    <font>
      <name val="Tahoma"/>
      <b val="1"/>
      <color rgb="005F3DC4"/>
      <sz val="12"/>
    </font>
    <font>
      <name val="Tahoma"/>
      <b val="1"/>
      <color rgb="005F3DC4"/>
      <sz val="14"/>
    </font>
    <font>
      <name val="Tahoma"/>
      <b val="1"/>
      <color rgb="00FFFFFF"/>
      <sz val="16"/>
    </font>
    <font>
      <name val="Tahoma"/>
      <color rgb="00FFFFFF"/>
      <sz val="10"/>
    </font>
    <font>
      <name val="Tahoma"/>
      <b val="1"/>
      <color rgb="00495057"/>
      <sz val="8"/>
    </font>
    <font>
      <name val="Tahoma"/>
      <b val="1"/>
      <color rgb="00183195"/>
      <sz val="16"/>
    </font>
    <font>
      <name val="Tahoma"/>
      <b val="1"/>
      <color rgb="00183195"/>
      <sz val="7"/>
    </font>
    <font>
      <name val="Tahoma"/>
      <b val="1"/>
      <color rgb="003B5BDB"/>
      <sz val="9"/>
    </font>
    <font>
      <name val="Tahoma"/>
      <b val="1"/>
      <color rgb="003B5BDB"/>
      <sz val="8"/>
    </font>
    <font>
      <name val="Tahoma"/>
      <b val="1"/>
      <color rgb="003B5BDB"/>
      <sz val="7"/>
    </font>
    <font>
      <name val="Tahoma"/>
      <b val="1"/>
      <color rgb="00188695"/>
      <sz val="16"/>
    </font>
    <font>
      <name val="Tahoma"/>
      <b val="1"/>
      <color rgb="00188695"/>
      <sz val="7"/>
    </font>
    <font>
      <name val="Tahoma"/>
      <b val="1"/>
      <color rgb="000C8599"/>
      <sz val="9"/>
    </font>
    <font>
      <name val="Tahoma"/>
      <b val="1"/>
      <color rgb="000C8599"/>
      <sz val="8"/>
    </font>
    <font>
      <name val="Tahoma"/>
      <b val="1"/>
      <color rgb="000C8599"/>
      <sz val="7"/>
    </font>
    <font>
      <name val="Tahoma"/>
      <b val="1"/>
      <color rgb="00D9480F"/>
      <sz val="12"/>
    </font>
    <font>
      <name val="Tahoma"/>
      <b val="1"/>
      <color rgb="00D9480F"/>
      <sz val="10"/>
    </font>
    <font>
      <name val="Tahoma"/>
      <b val="1"/>
      <color rgb="00FFFFFF"/>
      <sz val="13"/>
    </font>
    <font>
      <name val="Tahoma"/>
      <color rgb="00FFFFFF"/>
      <sz val="8"/>
    </font>
    <font>
      <name val="Tahoma"/>
      <b val="1"/>
      <color rgb="00212529"/>
      <sz val="11"/>
    </font>
    <font>
      <name val="Tahoma"/>
      <color rgb="00CED4DA"/>
      <sz val="8"/>
    </font>
    <font>
      <name val="Tahoma"/>
      <color rgb="00ADB5BD"/>
      <sz val="7"/>
    </font>
    <font>
      <name val="Tahoma"/>
      <b val="1"/>
      <color rgb="005A8A17"/>
      <sz val="16"/>
    </font>
    <font>
      <name val="Tahoma"/>
      <b val="1"/>
      <color rgb="005A8A17"/>
      <sz val="7"/>
    </font>
    <font>
      <name val="Tahoma"/>
      <b val="1"/>
      <color rgb="002B8A3E"/>
      <sz val="10"/>
    </font>
    <font>
      <name val="Tahoma"/>
      <b val="1"/>
      <color rgb="002B8A3E"/>
      <sz val="12"/>
    </font>
    <font>
      <name val="Tahoma"/>
      <b val="1"/>
      <color rgb="002B8A3E"/>
      <sz val="14"/>
    </font>
    <font>
      <name val="Tahoma"/>
      <i val="1"/>
      <color rgb="00ADB5BD"/>
      <sz val="9"/>
    </font>
    <font>
      <name val="Tahoma"/>
      <b val="1"/>
      <color rgb="00901D45"/>
      <sz val="16"/>
    </font>
    <font>
      <name val="Tahoma"/>
      <b val="1"/>
      <color rgb="00901D45"/>
      <sz val="7"/>
    </font>
    <font>
      <name val="Tahoma"/>
      <b val="1"/>
      <color rgb="00185A95"/>
      <sz val="16"/>
    </font>
    <font>
      <name val="Tahoma"/>
      <b val="1"/>
      <color rgb="00185A95"/>
      <sz val="7"/>
    </font>
    <font>
      <name val="Tahoma"/>
      <b val="1"/>
      <color rgb="00339AF0"/>
      <sz val="20"/>
    </font>
    <font>
      <name val="Tahoma"/>
      <b val="1"/>
      <color rgb="00FF6B6B"/>
      <sz val="20"/>
    </font>
    <font>
      <name val="Tahoma"/>
      <b val="1"/>
      <color rgb="005C940D"/>
      <sz val="20"/>
    </font>
    <font>
      <name val="Tahoma"/>
      <b val="1"/>
      <color rgb="00D6336C"/>
      <sz val="20"/>
    </font>
    <font>
      <name val="Tahoma"/>
      <b val="1"/>
      <color rgb="00FAB005"/>
      <sz val="20"/>
    </font>
    <font>
      <name val="Tahoma"/>
      <b val="1"/>
      <color rgb="001864AB"/>
      <sz val="11"/>
    </font>
    <font>
      <name val="Tahoma"/>
      <b val="1"/>
      <color rgb="001C7ED6"/>
      <sz val="9"/>
    </font>
    <font>
      <name val="Tahoma"/>
      <b val="1"/>
      <color rgb="00954418"/>
      <sz val="16"/>
    </font>
    <font>
      <name val="Tahoma"/>
      <b val="1"/>
      <color rgb="00954418"/>
      <sz val="7"/>
    </font>
    <font>
      <name val="Tahoma"/>
      <b val="1"/>
      <color rgb="00D9480F"/>
      <sz val="11"/>
    </font>
    <font>
      <name val="Tahoma"/>
      <b val="1"/>
      <color rgb="00087F5B"/>
      <sz val="11"/>
    </font>
    <font>
      <name val="Tahoma"/>
      <b val="1"/>
      <color rgb="00087F5B"/>
      <sz val="10"/>
    </font>
    <font>
      <name val="Tahoma"/>
      <b val="1"/>
      <color rgb="00087F5B"/>
      <sz val="10"/>
      <u val="single"/>
    </font>
    <font>
      <name val="Tahoma"/>
      <b val="1"/>
      <color rgb="00087F5B"/>
      <sz val="12"/>
    </font>
    <font>
      <name val="Tahoma"/>
      <b val="1"/>
      <color rgb="001B3392"/>
      <sz val="16"/>
    </font>
    <font>
      <name val="Tahoma"/>
      <b val="1"/>
      <color rgb="001B3392"/>
      <sz val="7"/>
    </font>
    <font>
      <name val="Tahoma"/>
      <b val="1"/>
      <color rgb="00364FC7"/>
      <sz val="11"/>
    </font>
    <font>
      <name val="Tahoma"/>
      <b val="1"/>
      <color rgb="00364FC7"/>
      <sz val="9"/>
    </font>
    <font>
      <name val="Tahoma"/>
      <b val="1"/>
      <color rgb="00364FC7"/>
      <sz val="10"/>
    </font>
    <font>
      <name val="Tahoma"/>
      <b val="1"/>
      <color rgb="00364FC7"/>
      <sz val="8"/>
    </font>
    <font>
      <name val="Tahoma"/>
      <b val="1"/>
      <color rgb="00FF6B6B"/>
      <sz val="30"/>
    </font>
    <font>
      <name val="Tahoma"/>
      <b val="1"/>
      <color rgb="00343A40"/>
      <sz val="13"/>
    </font>
    <font>
      <name val="Tahoma"/>
      <color rgb="00495057"/>
      <sz val="10"/>
    </font>
    <font>
      <name val="Tahoma"/>
      <color rgb="00212529"/>
      <sz val="6"/>
    </font>
    <font>
      <name val="Tahoma"/>
      <b val="1"/>
      <color rgb="00FAB005"/>
      <sz val="30"/>
    </font>
    <font>
      <name val="Tahoma"/>
      <b val="1"/>
      <color rgb="0040C057"/>
      <sz val="30"/>
    </font>
    <font>
      <name val="Tahoma"/>
      <b val="1"/>
      <color rgb="004DABF7"/>
      <sz val="30"/>
    </font>
    <font>
      <name val="Tahoma"/>
      <b val="1"/>
      <color rgb="00845EF7"/>
      <sz val="30"/>
    </font>
    <font>
      <name val="Tahoma"/>
      <b val="1"/>
      <color rgb="00E67700"/>
      <sz val="12"/>
    </font>
    <font>
      <name val="Tahoma"/>
      <b val="1"/>
      <color rgb="00FF6B6B"/>
      <sz val="8"/>
    </font>
    <font>
      <name val="Tahoma"/>
      <color rgb="00ADB5BD"/>
      <sz val="8"/>
    </font>
    <font>
      <name val="Tahoma"/>
      <b val="1"/>
      <color rgb="00495057"/>
      <sz val="7"/>
    </font>
    <font>
      <name val="Tahoma"/>
      <color rgb="00C92A2A"/>
      <sz val="8"/>
    </font>
    <font>
      <name val="Tahoma"/>
      <color rgb="00FFFFFF"/>
      <sz val="7"/>
    </font>
    <font>
      <name val="Tahoma"/>
      <b val="1"/>
      <color rgb="00FAB005"/>
      <sz val="8"/>
    </font>
    <font>
      <name val="Tahoma"/>
      <b val="1"/>
      <color rgb="0040C057"/>
      <sz val="8"/>
    </font>
    <font>
      <name val="Tahoma"/>
      <b val="1"/>
      <color rgb="004DABF7"/>
      <sz val="8"/>
    </font>
    <font>
      <name val="Tahoma"/>
      <b val="1"/>
      <color rgb="00845EF7"/>
      <sz val="8"/>
    </font>
    <font>
      <name val="Tahoma"/>
      <b val="1"/>
      <color rgb="00E67700"/>
      <sz val="11"/>
    </font>
    <font>
      <name val="Tahoma"/>
      <b val="1"/>
      <color rgb="005F3DC4"/>
      <sz val="16"/>
    </font>
    <font>
      <name val="Tahoma"/>
      <b val="1"/>
      <color rgb="00E67700"/>
      <sz val="36"/>
    </font>
    <font>
      <name val="Tahoma"/>
      <color rgb="00343A40"/>
      <sz val="13"/>
    </font>
    <font>
      <name val="Tahoma"/>
      <b val="1"/>
      <color rgb="001864AB"/>
      <sz val="28"/>
    </font>
    <font>
      <name val="Tahoma"/>
      <color rgb="00495057"/>
      <sz val="12"/>
    </font>
    <font>
      <name val="Tahoma"/>
      <b val="1"/>
      <color rgb="00C92A2A"/>
      <sz val="22"/>
    </font>
    <font>
      <name val="Tahoma"/>
      <color rgb="00495057"/>
      <sz val="11"/>
    </font>
    <font>
      <name val="Tahoma"/>
      <b val="1"/>
      <color rgb="00343A40"/>
      <sz val="12"/>
    </font>
    <font>
      <name val="Tahoma"/>
      <color rgb="00343A40"/>
      <sz val="11"/>
    </font>
    <font>
      <name val="Tahoma"/>
      <b val="1"/>
      <color rgb="00495057"/>
      <sz val="11"/>
    </font>
    <font>
      <name val="Tahoma"/>
      <b val="1"/>
      <color rgb="00C2255C"/>
      <sz val="11"/>
    </font>
    <font>
      <name val="Tahoma"/>
      <color rgb="00343A40"/>
      <sz val="9"/>
    </font>
    <font>
      <name val="Tahoma"/>
      <b val="1"/>
      <color rgb="005C7CFA"/>
      <sz val="8"/>
    </font>
    <font>
      <name val="Tahoma"/>
      <b val="1"/>
      <color rgb="00339AF0"/>
      <sz val="8"/>
    </font>
    <font>
      <name val="Tahoma"/>
      <b val="1"/>
      <color rgb="0022B8CF"/>
      <sz val="8"/>
    </font>
    <font>
      <name val="Tahoma"/>
      <b val="1"/>
      <color rgb="0020C997"/>
      <sz val="8"/>
    </font>
    <font>
      <name val="Tahoma"/>
      <b val="1"/>
      <color rgb="0051CF66"/>
      <sz val="8"/>
    </font>
    <font>
      <name val="Tahoma"/>
      <b val="1"/>
      <color rgb="0094D82D"/>
      <sz val="8"/>
    </font>
    <font>
      <name val="Tahoma"/>
      <b val="1"/>
      <color rgb="00FCC419"/>
      <sz val="8"/>
    </font>
    <font>
      <name val="Tahoma"/>
      <b val="1"/>
      <color rgb="00FF922B"/>
      <sz val="8"/>
    </font>
    <font>
      <name val="Tahoma"/>
      <b val="1"/>
      <color rgb="00F06595"/>
      <sz val="8"/>
    </font>
    <font>
      <name val="Tahoma"/>
      <b val="1"/>
      <color rgb="00CC5DE8"/>
      <sz val="8"/>
    </font>
    <font>
      <name val="Tahoma"/>
      <i val="1"/>
      <color rgb="00868E96"/>
      <sz val="8"/>
    </font>
    <font>
      <name val="Tahoma"/>
      <b val="1"/>
      <color rgb="00343A40"/>
      <sz val="11"/>
    </font>
    <font>
      <name val="Tahoma"/>
      <b val="1"/>
      <color rgb="00343A40"/>
      <sz val="10"/>
    </font>
    <font>
      <name val="Tahoma"/>
      <b val="1"/>
      <color rgb="00343A40"/>
      <sz val="16"/>
    </font>
    <font>
      <name val="Tahoma"/>
      <b val="1"/>
      <color rgb="00212529"/>
      <sz val="12"/>
    </font>
    <font>
      <name val="Tahoma"/>
      <b val="1"/>
      <color rgb="00212529"/>
      <sz val="7"/>
    </font>
    <font>
      <name val="Tahoma"/>
      <b val="1"/>
      <color rgb="00495057"/>
      <sz val="16"/>
    </font>
    <font>
      <name val="Tahoma"/>
      <b val="1"/>
      <color rgb="00FFFFFF"/>
      <sz val="12"/>
    </font>
    <font>
      <name val="Tahoma"/>
      <color rgb="00343A40"/>
      <sz val="10"/>
    </font>
    <font>
      <name val="Tahoma"/>
      <b val="1"/>
      <color rgb="005C3D99"/>
      <sz val="12"/>
    </font>
    <font>
      <name val="Tahoma"/>
      <b val="1"/>
      <color rgb="00E64980"/>
      <sz val="8"/>
    </font>
    <font>
      <name val="Tahoma"/>
      <b val="1"/>
      <color rgb="00D6336C"/>
      <sz val="10"/>
    </font>
    <font>
      <name val="Tahoma"/>
      <b val="1"/>
      <color rgb="001971C2"/>
      <sz val="10"/>
    </font>
    <font>
      <name val="Tahoma"/>
      <b val="1"/>
      <color rgb="001971C2"/>
      <sz val="20"/>
    </font>
    <font>
      <name val="Tahoma"/>
      <b val="1"/>
      <color rgb="002B8A3E"/>
      <sz val="20"/>
    </font>
    <font>
      <name val="Tahoma"/>
      <b val="1"/>
      <color rgb="00B7791F"/>
      <sz val="10"/>
    </font>
    <font>
      <name val="Tahoma"/>
      <b val="1"/>
      <color rgb="00B7791F"/>
      <sz val="20"/>
    </font>
    <font>
      <name val="Tahoma"/>
      <b val="1"/>
      <color rgb="00E64980"/>
      <sz val="13"/>
    </font>
    <font>
      <name val="Tahoma"/>
      <b val="1"/>
      <color rgb="00185C95"/>
      <sz val="8"/>
    </font>
    <font>
      <name val="Tahoma"/>
      <b val="1"/>
      <color rgb="00185C95"/>
      <sz val="14"/>
    </font>
    <font>
      <name val="Tahoma"/>
      <b val="1"/>
      <color rgb="00185C95"/>
      <sz val="10"/>
    </font>
    <font>
      <name val="Tahoma"/>
      <b val="1"/>
      <color rgb="00185D95"/>
      <sz val="8"/>
    </font>
    <font>
      <name val="Tahoma"/>
      <b val="1"/>
      <color rgb="00185D95"/>
      <sz val="14"/>
    </font>
    <font>
      <name val="Tahoma"/>
      <b val="1"/>
      <color rgb="00185D95"/>
      <sz val="10"/>
    </font>
    <font>
      <name val="Tahoma"/>
      <b val="1"/>
      <color rgb="00185A95"/>
      <sz val="8"/>
    </font>
    <font>
      <name val="Tahoma"/>
      <b val="1"/>
      <color rgb="00185A95"/>
      <sz val="14"/>
    </font>
    <font>
      <name val="Tahoma"/>
      <b val="1"/>
      <color rgb="00185A95"/>
      <sz val="10"/>
    </font>
    <font>
      <name val="Tahoma"/>
      <b val="1"/>
      <color rgb="0051575D"/>
      <sz val="8"/>
    </font>
    <font>
      <name val="Tahoma"/>
      <b val="1"/>
      <color rgb="0051575D"/>
      <sz val="14"/>
    </font>
    <font>
      <name val="Tahoma"/>
      <b val="1"/>
      <color rgb="0051575D"/>
      <sz val="10"/>
    </font>
    <font>
      <name val="Tahoma"/>
      <b val="1"/>
      <color rgb="00951818"/>
      <sz val="8"/>
    </font>
    <font>
      <name val="Tahoma"/>
      <b val="1"/>
      <color rgb="00951818"/>
      <sz val="14"/>
    </font>
    <font>
      <name val="Tahoma"/>
      <b val="1"/>
      <color rgb="00951818"/>
      <sz val="10"/>
    </font>
    <font>
      <name val="Tahoma"/>
      <b val="1"/>
      <color rgb="00188495"/>
      <sz val="8"/>
    </font>
    <font>
      <name val="Tahoma"/>
      <b val="1"/>
      <color rgb="00188495"/>
      <sz val="14"/>
    </font>
    <font>
      <name val="Tahoma"/>
      <b val="1"/>
      <color rgb="00188495"/>
      <sz val="10"/>
    </font>
    <font>
      <name val="Tahoma"/>
      <b val="1"/>
      <color rgb="00955518"/>
      <sz val="8"/>
    </font>
    <font>
      <name val="Tahoma"/>
      <b val="1"/>
      <color rgb="00955518"/>
      <sz val="14"/>
    </font>
    <font>
      <name val="Tahoma"/>
      <b val="1"/>
      <color rgb="00955518"/>
      <sz val="10"/>
    </font>
    <font>
      <name val="Tahoma"/>
      <b val="1"/>
      <color rgb="004D5760"/>
      <sz val="8"/>
    </font>
    <font>
      <name val="Tahoma"/>
      <b val="1"/>
      <color rgb="004D5760"/>
      <sz val="14"/>
    </font>
    <font>
      <name val="Tahoma"/>
      <b val="1"/>
      <color rgb="004D5760"/>
      <sz val="10"/>
    </font>
    <font>
      <name val="Tahoma"/>
      <b val="1"/>
      <color rgb="00371895"/>
      <sz val="8"/>
    </font>
    <font>
      <name val="Tahoma"/>
      <b val="1"/>
      <color rgb="00371895"/>
      <sz val="14"/>
    </font>
    <font>
      <name val="Tahoma"/>
      <b val="1"/>
      <color rgb="00371895"/>
      <sz val="10"/>
    </font>
    <font>
      <name val="Tahoma"/>
      <i val="1"/>
      <color rgb="009C8FB0"/>
      <sz val="8"/>
    </font>
    <font>
      <name val="Tahoma"/>
      <b val="1"/>
      <color rgb="00C92A2A"/>
      <sz val="11"/>
    </font>
    <font>
      <name val="Tahoma"/>
      <color rgb="00868E96"/>
      <sz val="8"/>
    </font>
    <font>
      <name val="Tahoma"/>
      <b val="1"/>
      <color rgb="005C3D66"/>
      <sz val="10"/>
    </font>
    <font>
      <name val="Tahoma"/>
      <b val="1"/>
      <color rgb="002B8A3E"/>
      <sz val="11"/>
    </font>
    <font>
      <name val="Tahoma"/>
      <b val="1"/>
      <color rgb="00868E96"/>
      <sz val="11"/>
    </font>
    <font>
      <name val="Tahoma"/>
      <b val="1"/>
      <color rgb="00185D95"/>
      <sz val="22"/>
    </font>
    <font>
      <name val="Tahoma"/>
      <b val="1"/>
      <color rgb="00951843"/>
      <sz val="22"/>
    </font>
    <font>
      <name val="Tahoma"/>
      <b val="1"/>
      <color rgb="00951843"/>
      <sz val="10"/>
    </font>
    <font>
      <name val="Tahoma"/>
      <b val="1"/>
      <color rgb="00E64980"/>
      <sz val="10"/>
    </font>
    <font>
      <name val="Tahoma"/>
      <color rgb="00868E96"/>
      <sz val="9"/>
    </font>
    <font>
      <name val="Tahoma"/>
      <b val="1"/>
      <color rgb="00951843"/>
      <sz val="11"/>
    </font>
    <font>
      <name val="Tahoma"/>
      <b val="1"/>
      <color rgb="00185D95"/>
      <sz val="12"/>
    </font>
    <font>
      <name val="Tahoma"/>
      <b val="1"/>
      <color rgb="00951843"/>
      <sz val="12"/>
    </font>
    <font>
      <name val="Tahoma"/>
      <b val="1"/>
      <color rgb="00951844"/>
      <sz val="12"/>
    </font>
    <font>
      <name val="Tahoma"/>
      <b val="1"/>
      <color rgb="00185C95"/>
      <sz val="9"/>
    </font>
    <font>
      <name val="Tahoma"/>
      <b val="1"/>
      <color rgb="00951818"/>
      <sz val="9"/>
    </font>
    <font>
      <name val="Tahoma"/>
      <b val="1"/>
      <color rgb="005A8A17"/>
      <sz val="9"/>
    </font>
    <font>
      <name val="Tahoma"/>
      <b val="1"/>
      <color rgb="00901D45"/>
      <sz val="9"/>
    </font>
    <font>
      <name val="Tahoma"/>
      <b val="1"/>
      <color rgb="00956F18"/>
      <sz val="9"/>
    </font>
    <font>
      <name val="Tahoma"/>
      <b val="1"/>
      <color rgb="00951844"/>
      <sz val="8"/>
    </font>
    <font>
      <name val="Tahoma"/>
      <b val="1"/>
      <color rgb="00901D45"/>
      <sz val="8"/>
    </font>
    <font>
      <name val="Tahoma"/>
      <b val="1"/>
      <color rgb="00951818"/>
      <sz val="12"/>
    </font>
    <font>
      <name val="Tahoma"/>
      <b val="1"/>
      <color rgb="00185C95"/>
      <sz val="12"/>
    </font>
    <font>
      <name val="Tahoma"/>
      <b val="1"/>
      <color rgb="00956F18"/>
      <sz val="12"/>
    </font>
    <font>
      <name val="Tahoma"/>
      <b val="1"/>
      <color rgb="00371895"/>
      <sz val="12"/>
    </font>
    <font>
      <name val="Tahoma"/>
      <b val="1"/>
      <color rgb="00954A18"/>
      <sz val="12"/>
    </font>
    <font>
      <name val="Tahoma"/>
      <b val="1"/>
      <color rgb="00189570"/>
      <sz val="12"/>
    </font>
    <font>
      <name val="Tahoma"/>
      <b val="1"/>
      <color rgb="00185A95"/>
      <sz val="12"/>
    </font>
    <font>
      <name val="Tahoma"/>
      <b val="1"/>
      <color rgb="0051575D"/>
      <sz val="12"/>
    </font>
    <font>
      <name val="Tahoma"/>
      <b val="1"/>
      <color rgb="00146C7C"/>
      <sz val="8"/>
    </font>
    <font>
      <name val="Tahoma"/>
      <b val="1"/>
      <color rgb="00188495"/>
      <sz val="9"/>
    </font>
    <font>
      <name val="Tahoma"/>
      <color rgb="00188495"/>
      <sz val="9"/>
    </font>
    <font>
      <name val="Tahoma"/>
      <b val="1"/>
      <color rgb="00951818"/>
      <sz val="11"/>
    </font>
    <font>
      <name val="Tahoma"/>
      <b val="1"/>
      <color rgb="008F1E1E"/>
      <sz val="10"/>
    </font>
    <font>
      <name val="Tahoma"/>
      <b val="1"/>
      <color rgb="00954A18"/>
      <sz val="11"/>
    </font>
    <font>
      <name val="Tahoma"/>
      <b val="1"/>
      <color rgb="00381895"/>
      <sz val="11"/>
    </font>
    <font>
      <name val="Tahoma"/>
      <b val="1"/>
      <color rgb="008F1E1E"/>
      <sz val="8"/>
    </font>
    <font>
      <name val="Tahoma"/>
      <b val="1"/>
      <color rgb="00381895"/>
      <sz val="9"/>
    </font>
    <font>
      <name val="Tahoma"/>
      <b val="1"/>
      <color rgb="00956F18"/>
      <sz val="10"/>
    </font>
    <font>
      <name val="Tahoma"/>
      <b val="1"/>
      <color rgb="00189570"/>
      <sz val="10"/>
    </font>
    <font>
      <name val="Tahoma"/>
      <b val="1"/>
      <color rgb="00956F18"/>
      <sz val="8"/>
    </font>
    <font>
      <name val="Tahoma"/>
      <b val="1"/>
      <color rgb="00189570"/>
      <sz val="8"/>
    </font>
    <font>
      <name val="Tahoma"/>
      <b val="1"/>
      <color rgb="00931B44"/>
      <sz val="9"/>
    </font>
    <font>
      <name val="Tahoma"/>
      <b val="1"/>
      <color rgb="00931B44"/>
      <sz val="8"/>
    </font>
    <font>
      <name val="Tahoma"/>
      <b val="1"/>
      <color rgb="00402885"/>
      <sz val="10"/>
    </font>
    <font>
      <name val="Tahoma"/>
      <b val="1"/>
      <color rgb="0029843B"/>
      <sz val="10"/>
    </font>
    <font>
      <name val="Tahoma"/>
      <b val="1"/>
      <color rgb="00921C45"/>
      <sz val="8"/>
    </font>
    <font>
      <name val="Tahoma"/>
      <b val="1"/>
      <color rgb="00185D95"/>
      <sz val="11"/>
    </font>
    <font>
      <name val="Tahoma"/>
      <b val="1"/>
      <color rgb="00185995"/>
      <sz val="10"/>
    </font>
    <font>
      <name val="Tahoma"/>
      <b val="1"/>
      <color rgb="00188495"/>
      <sz val="11"/>
    </font>
    <font>
      <name val="Tahoma"/>
      <b val="1"/>
      <color rgb="00146C7C"/>
      <sz val="10"/>
    </font>
    <font>
      <name val="Tahoma"/>
      <b val="1"/>
      <color rgb="00955518"/>
      <sz val="11"/>
    </font>
    <font>
      <name val="Tahoma"/>
      <b val="1"/>
      <color rgb="00953C18"/>
      <sz val="10"/>
    </font>
    <font>
      <name val="Tahoma"/>
      <b val="1"/>
      <color rgb="00183195"/>
      <sz val="11"/>
    </font>
    <font>
      <name val="Tahoma"/>
      <b val="1"/>
      <color rgb="001B3392"/>
      <sz val="10"/>
    </font>
    <font>
      <name val="Tahoma"/>
      <b val="1"/>
      <color rgb="00188695"/>
      <sz val="11"/>
    </font>
    <font>
      <name val="Tahoma"/>
      <b val="1"/>
      <color rgb="00177D8E"/>
      <sz val="10"/>
    </font>
    <font>
      <name val="Tahoma"/>
      <b val="1"/>
      <color rgb="002B823B"/>
      <sz val="11"/>
    </font>
    <font>
      <name val="Tahoma"/>
      <b val="1"/>
      <color rgb="00189570"/>
      <sz val="11"/>
    </font>
    <font>
      <name val="Tahoma"/>
      <b val="1"/>
      <color rgb="00137457"/>
      <sz val="10"/>
    </font>
    <font>
      <name val="Tahoma"/>
      <b val="1"/>
      <color rgb="00956F18"/>
      <sz val="11"/>
    </font>
    <font>
      <name val="Tahoma"/>
      <b val="1"/>
      <color rgb="00955918"/>
      <sz val="10"/>
    </font>
    <font>
      <name val="Tahoma"/>
      <b val="1"/>
      <color rgb="00956918"/>
      <sz val="9"/>
    </font>
    <font>
      <name val="Tahoma"/>
      <color rgb="00371895"/>
      <sz val="10"/>
    </font>
    <font>
      <name val="Tahoma"/>
      <b val="1"/>
      <color rgb="00951844"/>
      <sz val="10"/>
    </font>
    <font>
      <name val="Tahoma"/>
      <b val="1"/>
      <color rgb="00954A18"/>
      <sz val="13"/>
    </font>
    <font>
      <name val="Tahoma"/>
      <b val="1"/>
      <color rgb="00954A18"/>
      <sz val="9"/>
    </font>
    <font>
      <name val="Tahoma"/>
      <color rgb="00954A18"/>
      <sz val="8"/>
    </font>
    <font>
      <name val="Tahoma"/>
      <b val="1"/>
      <color rgb="00954A18"/>
      <sz val="10"/>
    </font>
    <font>
      <name val="Tahoma"/>
      <b val="1"/>
      <color rgb="005A8A17"/>
      <sz val="8"/>
    </font>
    <font>
      <name val="Tahoma"/>
      <b val="1"/>
      <color rgb="0029843B"/>
      <sz val="8"/>
    </font>
    <font>
      <name val="Tahoma"/>
      <b val="1"/>
      <color rgb="005A8A17"/>
      <sz val="10"/>
    </font>
    <font>
      <name val="Tahoma"/>
      <color rgb="005A8A17"/>
      <sz val="10"/>
    </font>
    <font>
      <name val="Tahoma"/>
      <color rgb="00189570"/>
      <sz val="9"/>
    </font>
    <font>
      <name val="Tahoma"/>
      <b val="1"/>
      <color rgb="00954418"/>
      <sz val="9"/>
    </font>
    <font>
      <name val="Tahoma"/>
      <b val="1"/>
      <color rgb="00189570"/>
      <sz val="9"/>
    </font>
    <font>
      <name val="Tahoma"/>
      <b val="1"/>
      <color rgb="00137457"/>
      <sz val="9"/>
    </font>
    <font>
      <name val="Tahoma"/>
      <b val="1"/>
      <color rgb="00189570"/>
      <sz val="14"/>
    </font>
    <font>
      <name val="Tahoma"/>
      <color rgb="00189570"/>
      <sz val="10"/>
    </font>
    <font>
      <name val="Tahoma"/>
      <b val="1"/>
      <color rgb="00137457"/>
      <sz val="7"/>
    </font>
    <font>
      <name val="Tahoma"/>
      <b val="1"/>
      <color rgb="001B3392"/>
      <sz val="9"/>
    </font>
    <font>
      <name val="Tahoma"/>
      <b val="1"/>
      <color rgb="00253688"/>
      <sz val="10"/>
    </font>
    <font>
      <name val="Tahoma"/>
      <b val="1"/>
      <color rgb="002B823B"/>
      <sz val="9"/>
    </font>
    <font>
      <name val="Tahoma"/>
      <b val="1"/>
      <color rgb="00185D95"/>
      <sz val="9"/>
    </font>
    <font>
      <name val="Tahoma"/>
      <b val="1"/>
      <color rgb="00371895"/>
      <sz val="9"/>
    </font>
    <font>
      <name val="Tahoma"/>
      <color rgb="00951818"/>
      <sz val="7"/>
    </font>
    <font>
      <name val="Tahoma"/>
      <color rgb="00956F18"/>
      <sz val="7"/>
    </font>
    <font>
      <name val="Tahoma"/>
      <color rgb="002B823B"/>
      <sz val="7"/>
    </font>
    <font>
      <name val="Tahoma"/>
      <color rgb="00185D95"/>
      <sz val="7"/>
    </font>
    <font>
      <name val="Tahoma"/>
      <color rgb="00371895"/>
      <sz val="7"/>
    </font>
    <font>
      <name val="Tahoma"/>
      <b val="1"/>
      <color rgb="00956918"/>
      <sz val="10"/>
    </font>
    <font>
      <name val="Tahoma"/>
      <b val="1"/>
      <color rgb="00183295"/>
      <sz val="11"/>
    </font>
    <font>
      <name val="Tahoma"/>
      <b val="1"/>
      <color rgb="00185C95"/>
      <sz val="11"/>
    </font>
    <font>
      <name val="Tahoma"/>
      <b val="1"/>
      <color rgb="00258836"/>
      <sz val="11"/>
    </font>
    <font>
      <name val="Tahoma"/>
      <b val="1"/>
      <color rgb="007C1895"/>
      <sz val="11"/>
    </font>
    <font>
      <name val="Tahoma"/>
      <b val="1"/>
      <color rgb="00371895"/>
      <sz val="11"/>
    </font>
    <font>
      <name val="Tahoma"/>
      <b val="1"/>
      <color rgb="00495057"/>
      <sz val="14"/>
    </font>
    <font>
      <name val="Tahoma"/>
      <b val="1"/>
      <color rgb="00495057"/>
      <sz val="10"/>
    </font>
    <font>
      <name val="Tahoma"/>
      <b val="1"/>
      <color rgb="002B823B"/>
      <sz val="10"/>
    </font>
  </fonts>
  <fills count="166">
    <fill>
      <patternFill/>
    </fill>
    <fill>
      <patternFill patternType="gray125"/>
    </fill>
    <fill>
      <patternFill patternType="solid">
        <fgColor rgb="00EBF5FE"/>
      </patternFill>
    </fill>
    <fill>
      <patternFill patternType="solid">
        <fgColor rgb="00E7F5FF"/>
      </patternFill>
    </fill>
    <fill>
      <patternFill patternType="solid">
        <fgColor rgb="00FFF9DB"/>
      </patternFill>
    </fill>
    <fill>
      <patternFill patternType="solid">
        <fgColor rgb="00D0EBFF"/>
      </patternFill>
    </fill>
    <fill>
      <patternFill patternType="solid">
        <fgColor rgb="00FFE3E3"/>
      </patternFill>
    </fill>
    <fill>
      <patternFill patternType="solid">
        <fgColor rgb="00EDF7FE"/>
      </patternFill>
    </fill>
    <fill>
      <patternFill patternType="solid">
        <fgColor rgb="00339AF0"/>
      </patternFill>
    </fill>
    <fill>
      <patternFill patternType="solid">
        <fgColor rgb="00E9ECEF"/>
      </patternFill>
    </fill>
    <fill>
      <patternFill patternType="solid">
        <fgColor rgb="00FFF0F0"/>
      </patternFill>
    </fill>
    <fill>
      <patternFill patternType="solid">
        <fgColor rgb="00FFFFFF"/>
      </patternFill>
    </fill>
    <fill>
      <patternFill patternType="solid">
        <fgColor rgb="00F8F9FA"/>
      </patternFill>
    </fill>
    <fill>
      <patternFill patternType="solid">
        <fgColor rgb="00FF6B6B"/>
      </patternFill>
    </fill>
    <fill>
      <patternFill patternType="solid">
        <fgColor rgb="00C92A2A"/>
      </patternFill>
    </fill>
    <fill>
      <patternFill patternType="solid">
        <fgColor rgb="00D3F9D8"/>
      </patternFill>
    </fill>
    <fill>
      <patternFill patternType="solid">
        <fgColor rgb="00FFF3BF"/>
      </patternFill>
    </fill>
    <fill>
      <patternFill patternType="solid">
        <fgColor rgb="004DABF7"/>
      </patternFill>
    </fill>
    <fill>
      <patternFill patternType="solid">
        <fgColor rgb="001864AB"/>
      </patternFill>
    </fill>
    <fill>
      <patternFill patternType="solid">
        <fgColor rgb="00E9F8FA"/>
      </patternFill>
    </fill>
    <fill>
      <patternFill patternType="solid">
        <fgColor rgb="00E3FAFC"/>
      </patternFill>
    </fill>
    <fill>
      <patternFill patternType="solid">
        <fgColor rgb="0022B8CF"/>
      </patternFill>
    </fill>
    <fill>
      <patternFill patternType="solid">
        <fgColor rgb="000B7285"/>
      </patternFill>
    </fill>
    <fill>
      <patternFill patternType="solid">
        <fgColor rgb="00FEF7E6"/>
      </patternFill>
    </fill>
    <fill>
      <patternFill patternType="solid">
        <fgColor rgb="00FAB005"/>
      </patternFill>
    </fill>
    <fill>
      <patternFill patternType="solid">
        <fgColor rgb="00E67700"/>
      </patternFill>
    </fill>
    <fill>
      <patternFill patternType="solid">
        <fgColor rgb="00FFE066"/>
      </patternFill>
    </fill>
    <fill>
      <patternFill patternType="solid">
        <fgColor rgb="00F59F00"/>
      </patternFill>
    </fill>
    <fill>
      <patternFill patternType="solid">
        <fgColor rgb="00FEF0F4"/>
      </patternFill>
    </fill>
    <fill>
      <patternFill patternType="solid">
        <fgColor rgb="00FFF0F6"/>
      </patternFill>
    </fill>
    <fill>
      <patternFill patternType="solid">
        <fgColor rgb="00F06595"/>
      </patternFill>
    </fill>
    <fill>
      <patternFill patternType="solid">
        <fgColor rgb="00C2255C"/>
      </patternFill>
    </fill>
    <fill>
      <patternFill patternType="solid">
        <fgColor rgb="00F3EFFE"/>
      </patternFill>
    </fill>
    <fill>
      <patternFill patternType="solid">
        <fgColor rgb="00F3F0FF"/>
      </patternFill>
    </fill>
    <fill>
      <patternFill patternType="solid">
        <fgColor rgb="00845EF7"/>
      </patternFill>
    </fill>
    <fill>
      <patternFill patternType="solid">
        <fgColor rgb="005F3DC4"/>
      </patternFill>
    </fill>
    <fill>
      <patternFill patternType="solid">
        <fgColor rgb="00FFC9C9"/>
      </patternFill>
    </fill>
    <fill>
      <patternFill patternType="solid">
        <fgColor rgb="00FFE8CC"/>
      </patternFill>
    </fill>
    <fill>
      <patternFill patternType="solid">
        <fgColor rgb="002B8A3E"/>
      </patternFill>
    </fill>
    <fill>
      <patternFill patternType="solid">
        <fgColor rgb="00FFF4EA"/>
      </patternFill>
    </fill>
    <fill>
      <patternFill patternType="solid">
        <fgColor rgb="00FFF4E6"/>
      </patternFill>
    </fill>
    <fill>
      <patternFill patternType="solid">
        <fgColor rgb="00FF922B"/>
      </patternFill>
    </fill>
    <fill>
      <patternFill patternType="solid">
        <fgColor rgb="00D9480F"/>
      </patternFill>
    </fill>
    <fill>
      <patternFill patternType="solid">
        <fgColor rgb="00E9FAF5"/>
      </patternFill>
    </fill>
    <fill>
      <patternFill patternType="solid">
        <fgColor rgb="00E6FCF5"/>
      </patternFill>
    </fill>
    <fill>
      <patternFill patternType="solid">
        <fgColor rgb="0020C997"/>
      </patternFill>
    </fill>
    <fill>
      <patternFill patternType="solid">
        <fgColor rgb="00087F5B"/>
      </patternFill>
    </fill>
    <fill>
      <patternFill patternType="solid">
        <fgColor rgb="00F2EEFE"/>
      </patternFill>
    </fill>
    <fill>
      <patternFill patternType="solid">
        <fgColor rgb="007950F2"/>
      </patternFill>
    </fill>
    <fill>
      <patternFill patternType="solid">
        <fgColor rgb="00ECF9EE"/>
      </patternFill>
    </fill>
    <fill>
      <patternFill patternType="solid">
        <fgColor rgb="00EBFBEE"/>
      </patternFill>
    </fill>
    <fill>
      <patternFill patternType="solid">
        <fgColor rgb="0040C057"/>
      </patternFill>
    </fill>
    <fill>
      <patternFill patternType="solid">
        <fgColor rgb="00F76707"/>
      </patternFill>
    </fill>
    <fill>
      <patternFill patternType="solid">
        <fgColor rgb="00E5DBFF"/>
      </patternFill>
    </fill>
    <fill>
      <patternFill patternType="solid">
        <fgColor rgb="00D0BFFF"/>
      </patternFill>
    </fill>
    <fill>
      <patternFill patternType="solid">
        <fgColor rgb="00C3FAE8"/>
      </patternFill>
    </fill>
    <fill>
      <patternFill patternType="solid">
        <fgColor rgb="00FCEDF2"/>
      </patternFill>
    </fill>
    <fill>
      <patternFill patternType="solid">
        <fgColor rgb="00A61E4D"/>
      </patternFill>
    </fill>
    <fill>
      <patternFill patternType="solid">
        <fgColor rgb="00E64980"/>
      </patternFill>
    </fill>
    <fill>
      <patternFill patternType="solid">
        <fgColor rgb="00E7F5F7"/>
      </patternFill>
    </fill>
    <fill>
      <patternFill patternType="solid">
        <fgColor rgb="001098AD"/>
      </patternFill>
    </fill>
    <fill>
      <patternFill patternType="solid">
        <fgColor rgb="00E03131"/>
      </patternFill>
    </fill>
    <fill>
      <patternFill patternType="solid">
        <fgColor rgb="00FFF5F5"/>
      </patternFill>
    </fill>
    <fill>
      <patternFill patternType="solid">
        <fgColor rgb="007048E8"/>
      </patternFill>
    </fill>
    <fill>
      <patternFill patternType="solid">
        <fgColor rgb="00FFDEEB"/>
      </patternFill>
    </fill>
    <fill>
      <patternFill patternType="solid">
        <fgColor rgb="00F1F4FF"/>
      </patternFill>
    </fill>
    <fill>
      <patternFill patternType="solid">
        <fgColor rgb="00EDF2FF"/>
      </patternFill>
    </fill>
    <fill>
      <patternFill patternType="solid">
        <fgColor rgb="00748FFC"/>
      </patternFill>
    </fill>
    <fill>
      <patternFill patternType="solid">
        <fgColor rgb="003B5BDB"/>
      </patternFill>
    </fill>
    <fill>
      <patternFill patternType="solid">
        <fgColor rgb="00E8F6F9"/>
      </patternFill>
    </fill>
    <fill>
      <patternFill patternType="solid">
        <fgColor rgb="0015AABF"/>
      </patternFill>
    </fill>
    <fill>
      <patternFill patternType="solid">
        <fgColor rgb="000C8599"/>
      </patternFill>
    </fill>
    <fill>
      <patternFill patternType="solid">
        <fgColor rgb="00C5F6FA"/>
      </patternFill>
    </fill>
    <fill>
      <patternFill patternType="solid">
        <fgColor rgb="00EFF4E7"/>
      </patternFill>
    </fill>
    <fill>
      <patternFill patternType="solid">
        <fgColor rgb="00F4FCE3"/>
      </patternFill>
    </fill>
    <fill>
      <patternFill patternType="solid">
        <fgColor rgb="005C940D"/>
      </patternFill>
    </fill>
    <fill>
      <patternFill patternType="solid">
        <fgColor rgb="00FBEBF0"/>
      </patternFill>
    </fill>
    <fill>
      <patternFill patternType="solid">
        <fgColor rgb="00868E96"/>
      </patternFill>
    </fill>
    <fill>
      <patternFill patternType="solid">
        <fgColor rgb="00D6336C"/>
      </patternFill>
    </fill>
    <fill>
      <patternFill patternType="solid">
        <fgColor rgb="00E8F2FB"/>
      </patternFill>
    </fill>
    <fill>
      <patternFill patternType="solid">
        <fgColor rgb="001C7ED6"/>
      </patternFill>
    </fill>
    <fill>
      <patternFill patternType="solid">
        <fgColor rgb="00FDEEE7"/>
      </patternFill>
    </fill>
    <fill>
      <patternFill patternType="solid">
        <fgColor rgb="00E8590C"/>
      </patternFill>
    </fill>
    <fill>
      <patternFill patternType="solid">
        <fgColor rgb="00FFF9F2"/>
      </patternFill>
    </fill>
    <fill>
      <patternFill patternType="solid">
        <fgColor rgb="00E7F6F2"/>
      </patternFill>
    </fill>
    <fill>
      <patternFill patternType="solid">
        <fgColor rgb="000CA678"/>
      </patternFill>
    </fill>
    <fill>
      <patternFill patternType="solid">
        <fgColor rgb="00EBEFFB"/>
      </patternFill>
    </fill>
    <fill>
      <patternFill patternType="solid">
        <fgColor rgb="00364FC7"/>
      </patternFill>
    </fill>
    <fill>
      <patternFill patternType="solid">
        <fgColor rgb="00DBE4FF"/>
      </patternFill>
    </fill>
    <fill>
      <patternFill patternType="solid">
        <fgColor rgb="00FFFDF5"/>
      </patternFill>
    </fill>
    <fill>
      <patternFill patternType="solid">
        <fgColor rgb="005C7CFA"/>
      </patternFill>
    </fill>
    <fill>
      <patternFill patternType="solid">
        <fgColor rgb="0051CF66"/>
      </patternFill>
    </fill>
    <fill>
      <patternFill patternType="solid">
        <fgColor rgb="0094D82D"/>
      </patternFill>
    </fill>
    <fill>
      <patternFill patternType="solid">
        <fgColor rgb="00FCC419"/>
      </patternFill>
    </fill>
    <fill>
      <patternFill patternType="solid">
        <fgColor rgb="00CC5DE8"/>
      </patternFill>
    </fill>
    <fill>
      <patternFill patternType="solid">
        <fgColor rgb="00495057"/>
      </patternFill>
    </fill>
    <fill>
      <patternFill patternType="solid">
        <fgColor rgb="00F1F3F5"/>
      </patternFill>
    </fill>
    <fill>
      <patternFill patternType="solid">
        <fgColor rgb="00EBEBEC"/>
      </patternFill>
    </fill>
    <fill>
      <patternFill patternType="solid">
        <fgColor rgb="00343A40"/>
      </patternFill>
    </fill>
    <fill>
      <patternFill patternType="solid">
        <fgColor rgb="00F5FAFF"/>
      </patternFill>
    </fill>
    <fill>
      <patternFill patternType="solid">
        <fgColor rgb="00F4FCF5"/>
      </patternFill>
    </fill>
    <fill>
      <patternFill patternType="solid">
        <fgColor rgb="00FFFBEA"/>
      </patternFill>
    </fill>
    <fill>
      <patternFill patternType="solid">
        <fgColor rgb="0012B886"/>
      </patternFill>
    </fill>
    <fill>
      <patternFill patternType="solid">
        <fgColor rgb="00EDEEEE"/>
      </patternFill>
    </fill>
    <fill>
      <patternFill patternType="solid">
        <fgColor rgb="00FFFBFE"/>
      </patternFill>
    </fill>
    <fill>
      <patternFill patternType="solid">
        <fgColor rgb="00DDF0FF"/>
      </patternFill>
    </fill>
    <fill>
      <patternFill patternType="solid">
        <fgColor rgb="00E3F3FF"/>
      </patternFill>
    </fill>
    <fill>
      <patternFill patternType="solid">
        <fgColor rgb="00E9F6FF"/>
      </patternFill>
    </fill>
    <fill>
      <patternFill patternType="solid">
        <fgColor rgb="00EFF8FF"/>
      </patternFill>
    </fill>
    <fill>
      <patternFill patternType="solid">
        <fgColor rgb="00F4FBFF"/>
      </patternFill>
    </fill>
    <fill>
      <patternFill patternType="solid">
        <fgColor rgb="00E8F8E4"/>
      </patternFill>
    </fill>
    <fill>
      <patternFill patternType="solid">
        <fgColor rgb="00FFE3EC"/>
      </patternFill>
    </fill>
    <fill>
      <patternFill patternType="solid">
        <fgColor rgb="00E1F0FF"/>
      </patternFill>
    </fill>
    <fill>
      <patternFill patternType="solid">
        <fgColor rgb="00E3F9E5"/>
      </patternFill>
    </fill>
    <fill>
      <patternFill patternType="solid">
        <fgColor rgb="00FFF4D6"/>
      </patternFill>
    </fill>
    <fill>
      <patternFill patternType="solid">
        <fgColor rgb="00C6E3FB"/>
      </patternFill>
    </fill>
    <fill>
      <patternFill patternType="solid">
        <fgColor rgb="00CDE7FD"/>
      </patternFill>
    </fill>
    <fill>
      <patternFill patternType="solid">
        <fgColor rgb="00BFDBF4"/>
      </patternFill>
    </fill>
    <fill>
      <patternFill patternType="solid">
        <fgColor rgb="00ECEDEE"/>
      </patternFill>
    </fill>
    <fill>
      <patternFill patternType="solid">
        <fgColor rgb="00FFD6D6"/>
      </patternFill>
    </fill>
    <fill>
      <patternFill patternType="solid">
        <fgColor rgb="00FECFCF"/>
      </patternFill>
    </fill>
    <fill>
      <patternFill patternType="solid">
        <fgColor rgb="00C1EBF2"/>
      </patternFill>
    </fill>
    <fill>
      <patternFill patternType="solid">
        <fgColor rgb="00FFE0C4"/>
      </patternFill>
    </fill>
    <fill>
      <patternFill patternType="solid">
        <fgColor rgb="00F2F3F4"/>
      </patternFill>
    </fill>
    <fill>
      <patternFill patternType="solid">
        <fgColor rgb="00DDD2FD"/>
      </patternFill>
    </fill>
    <fill>
      <patternFill patternType="solid">
        <fgColor rgb="00FFF5F9"/>
      </patternFill>
    </fill>
    <fill>
      <patternFill patternType="solid">
        <fgColor rgb="00E4F2FE"/>
      </patternFill>
    </fill>
    <fill>
      <patternFill patternType="solid">
        <fgColor rgb="00F1F8FE"/>
      </patternFill>
    </fill>
    <fill>
      <patternFill patternType="solid">
        <fgColor rgb="00FDE8EF"/>
      </patternFill>
    </fill>
    <fill>
      <patternFill patternType="solid">
        <fgColor rgb="00FEF3F7"/>
      </patternFill>
    </fill>
    <fill>
      <patternFill patternType="solid">
        <fgColor rgb="00FBD4E1"/>
      </patternFill>
    </fill>
    <fill>
      <patternFill patternType="solid">
        <fgColor rgb="00F8CCDB"/>
      </patternFill>
    </fill>
    <fill>
      <patternFill patternType="solid">
        <fgColor rgb="00D1E1BB"/>
      </patternFill>
    </fill>
    <fill>
      <patternFill patternType="solid">
        <fgColor rgb="00F4C6D6"/>
      </patternFill>
    </fill>
    <fill>
      <patternFill patternType="solid">
        <fgColor rgb="00FEE9B9"/>
      </patternFill>
    </fill>
    <fill>
      <patternFill patternType="solid">
        <fgColor rgb="00F6C5C5"/>
      </patternFill>
    </fill>
    <fill>
      <patternFill patternType="solid">
        <fgColor rgb="00D7CCF9"/>
      </patternFill>
    </fill>
    <fill>
      <patternFill patternType="solid">
        <fgColor rgb="00FDD4BA"/>
      </patternFill>
    </fill>
    <fill>
      <patternFill patternType="solid">
        <fgColor rgb="00BBE6D9"/>
      </patternFill>
    </fill>
    <fill>
      <patternFill patternType="solid">
        <fgColor rgb="00BDEBDD"/>
      </patternFill>
    </fill>
    <fill>
      <patternFill patternType="solid">
        <fgColor rgb="00BCE2E8"/>
      </patternFill>
    </fill>
    <fill>
      <patternFill patternType="solid">
        <fgColor rgb="00BBD8DD"/>
      </patternFill>
    </fill>
    <fill>
      <patternFill patternType="solid">
        <fgColor rgb="00F0C3C3"/>
      </patternFill>
    </fill>
    <fill>
      <patternFill patternType="solid">
        <fgColor rgb="00D9CEFB"/>
      </patternFill>
    </fill>
    <fill>
      <patternFill patternType="solid">
        <fgColor rgb="00C1F0E2"/>
      </patternFill>
    </fill>
    <fill>
      <patternFill patternType="solid">
        <fgColor rgb="00E6C0CD"/>
      </patternFill>
    </fill>
    <fill>
      <patternFill patternType="solid">
        <fgColor rgb="00D2C9EE"/>
      </patternFill>
    </fill>
    <fill>
      <patternFill patternType="solid">
        <fgColor rgb="00C4DEC9"/>
      </patternFill>
    </fill>
    <fill>
      <patternFill patternType="solid">
        <fgColor rgb="00EEC2D1"/>
      </patternFill>
    </fill>
    <fill>
      <patternFill patternType="solid">
        <fgColor rgb="00BED4E7"/>
      </patternFill>
    </fill>
    <fill>
      <patternFill patternType="solid">
        <fgColor rgb="00F4CCBC"/>
      </patternFill>
    </fill>
    <fill>
      <patternFill patternType="solid">
        <fgColor rgb="00D8E0FE"/>
      </patternFill>
    </fill>
    <fill>
      <patternFill patternType="solid">
        <fgColor rgb="00C8D1F5"/>
      </patternFill>
    </fill>
    <fill>
      <patternFill patternType="solid">
        <fgColor rgb="00BDE7ED"/>
      </patternFill>
    </fill>
    <fill>
      <patternFill patternType="solid">
        <fgColor rgb="00BBDDE2"/>
      </patternFill>
    </fill>
    <fill>
      <patternFill patternType="solid">
        <fgColor rgb="00CAEDD0"/>
      </patternFill>
    </fill>
    <fill>
      <patternFill patternType="solid">
        <fgColor rgb="00BADBD1"/>
      </patternFill>
    </fill>
    <fill>
      <patternFill patternType="solid">
        <fgColor rgb="00F8D9B8"/>
      </patternFill>
    </fill>
    <fill>
      <patternFill patternType="solid">
        <fgColor rgb="00FCE4B8"/>
      </patternFill>
    </fill>
    <fill>
      <patternFill patternType="solid">
        <fgColor rgb="00F9D1BB"/>
      </patternFill>
    </fill>
    <fill>
      <patternFill patternType="solid">
        <fgColor rgb="00C7CEEF"/>
      </patternFill>
    </fill>
    <fill>
      <patternFill patternType="solid">
        <fgColor rgb="00D1DAFE"/>
      </patternFill>
    </fill>
    <fill>
      <patternFill patternType="solid">
        <fgColor rgb="00CEF2D4"/>
      </patternFill>
    </fill>
    <fill>
      <patternFill patternType="solid">
        <fgColor rgb="00F1D2F9"/>
      </patternFill>
    </fill>
    <fill>
      <patternFill patternType="solid">
        <fgColor rgb="00E2E3E4"/>
      </patternFill>
    </fill>
    <fill>
      <patternFill patternType="solid">
        <fgColor rgb="00DFDFE0"/>
      </patternFill>
    </fill>
  </fills>
  <borders count="275">
    <border>
      <left/>
      <right/>
      <top/>
      <bottom/>
      <diagonal/>
    </border>
    <border>
      <bottom style="medium">
        <color rgb="008FC7F7"/>
      </bottom>
    </border>
    <border>
      <left style="thin">
        <color rgb="00CED4DA"/>
      </left>
      <right style="thin">
        <color rgb="00CED4DA"/>
      </right>
      <top style="thin">
        <color rgb="00CED4DA"/>
      </top>
      <bottom style="thin">
        <color rgb="00CED4DA"/>
      </bottom>
    </border>
    <border>
      <bottom style="medium">
        <color rgb="009DD1FB"/>
      </bottom>
    </border>
    <border>
      <bottom style="medium">
        <color rgb="00FFAEAE"/>
      </bottom>
    </border>
    <border>
      <left style="medium">
        <color rgb="00FF6B6B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FF6B6B"/>
      </left>
      <right/>
      <top/>
      <bottom/>
    </border>
    <border>
      <left style="medium">
        <color rgb="004DABF7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4DABF7"/>
      </left>
      <right/>
      <top/>
      <bottom/>
    </border>
    <border>
      <bottom style="medium">
        <color rgb="0085D8E5"/>
      </bottom>
    </border>
    <border>
      <left style="medium">
        <color rgb="0022B8CF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22B8CF"/>
      </left>
      <right/>
      <top/>
      <bottom/>
    </border>
    <border>
      <bottom style="medium">
        <color rgb="00FCD476"/>
      </bottom>
    </border>
    <border>
      <left style="medium">
        <color rgb="00FAB005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FAB005"/>
      </left>
      <right/>
      <top/>
      <bottom/>
    </border>
    <border>
      <bottom style="medium">
        <color rgb="00F7AAC5"/>
      </bottom>
    </border>
    <border>
      <left style="medium">
        <color rgb="00F06595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FFF0F6"/>
      </left>
      <right style="thin">
        <color rgb="00CED4DA"/>
      </right>
      <top style="thin">
        <color rgb="00CED4DA"/>
      </top>
      <bottom style="thin">
        <color rgb="00CED4DA"/>
      </bottom>
    </border>
    <border>
      <bottom style="medium">
        <color rgb="00BBA6FB"/>
      </bottom>
    </border>
    <border>
      <left style="medium">
        <color rgb="00845EF7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845EF7"/>
      </left>
      <right/>
      <top/>
      <bottom/>
    </border>
    <border>
      <bottom style="medium">
        <color rgb="00FFC38A"/>
      </bottom>
    </border>
    <border>
      <left style="medium">
        <color rgb="00FF922B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FF922B"/>
      </left>
      <right/>
      <top/>
      <bottom/>
    </border>
    <border>
      <bottom style="medium">
        <color rgb="0084E1C6"/>
      </bottom>
    </border>
    <border>
      <left style="medium">
        <color rgb="0020C997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20C997"/>
      </left>
      <right/>
      <top/>
      <bottom/>
    </border>
    <border>
      <bottom style="medium">
        <color rgb="00B59FF8"/>
      </bottom>
    </border>
    <border>
      <left style="medium">
        <color rgb="007950F2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7950F2"/>
      </left>
      <right/>
      <top/>
      <bottom/>
    </border>
    <border>
      <bottom style="medium">
        <color rgb="0096DCA3"/>
      </bottom>
    </border>
    <border>
      <left style="medium">
        <color rgb="0040C057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40C057"/>
      </left>
      <right/>
      <top/>
      <bottom/>
    </border>
    <border>
      <bottom style="medium">
        <color rgb="00F19BB9"/>
      </bottom>
    </border>
    <border>
      <bottom style="medium">
        <color rgb="007CC6D2"/>
      </bottom>
    </border>
    <border>
      <bottom style="medium">
        <color rgb="00B3C1FD"/>
      </bottom>
    </border>
    <border>
      <left style="medium">
        <color rgb="00748FFC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748FFC"/>
      </left>
      <right/>
      <top/>
      <bottom/>
    </border>
    <border>
      <bottom style="medium">
        <color rgb="007ED0DC"/>
      </bottom>
    </border>
    <border>
      <left style="medium">
        <color rgb="0015AABF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15AABF"/>
      </left>
      <right/>
      <top/>
      <bottom/>
    </border>
    <border>
      <left style="thin">
        <color rgb="00CED4DA"/>
      </left>
      <right/>
      <top/>
      <bottom/>
      <diagonal/>
    </border>
    <border>
      <left style="thin">
        <color rgb="00CED4DA"/>
      </left>
      <right style="thin">
        <color rgb="00CED4DA"/>
      </right>
      <top/>
      <bottom/>
      <diagonal/>
    </border>
    <border>
      <left style="thin">
        <color rgb="00CED4DA"/>
      </left>
      <right style="thin">
        <color rgb="00CED4DA"/>
      </right>
      <top/>
      <bottom style="thin">
        <color rgb="00CED4DA"/>
      </bottom>
      <diagonal/>
    </border>
    <border>
      <bottom style="medium">
        <color rgb="00A5C47A"/>
      </bottom>
    </border>
    <border>
      <bottom style="medium">
        <color rgb="00E88FAE"/>
      </bottom>
    </border>
    <border>
      <left/>
      <right/>
      <top style="thin">
        <color rgb="00CED4DA"/>
      </top>
      <bottom/>
      <diagonal/>
    </border>
    <border>
      <left/>
      <right style="thin">
        <color rgb="00CED4DA"/>
      </right>
      <top style="thin">
        <color rgb="00CED4DA"/>
      </top>
      <bottom/>
      <diagonal/>
    </border>
    <border>
      <left/>
      <right style="thin">
        <color rgb="00CED4DA"/>
      </right>
      <top style="thin">
        <color rgb="00CED4DA"/>
      </top>
      <bottom style="thin">
        <color rgb="00CED4DA"/>
      </bottom>
      <diagonal/>
    </border>
    <border>
      <bottom style="medium">
        <color rgb="0082B8E8"/>
      </bottom>
    </border>
    <border>
      <bottom style="medium">
        <color rgb="00F2A479"/>
      </bottom>
    </border>
    <border>
      <bottom style="medium">
        <color rgb="0079CEB5"/>
      </bottom>
    </border>
    <border>
      <bottom style="medium">
        <color rgb="0093A5EB"/>
      </bottom>
    </border>
    <border>
      <left style="medium">
        <color rgb="00FF6B6B"/>
      </left>
      <right style="medium">
        <color rgb="00FF6B6B"/>
      </right>
      <top style="medium">
        <color rgb="00FF6B6B"/>
      </top>
    </border>
    <border>
      <left style="medium">
        <color rgb="00FF6B6B"/>
      </left>
      <right style="medium">
        <color rgb="00FF6B6B"/>
      </right>
    </border>
    <border>
      <left style="medium">
        <color rgb="00FF6B6B"/>
      </left>
      <right style="medium">
        <color rgb="00FF6B6B"/>
      </right>
      <bottom style="medium">
        <color rgb="00FF6B6B"/>
      </bottom>
    </border>
    <border>
      <left style="medium">
        <color rgb="00FAB005"/>
      </left>
      <right style="medium">
        <color rgb="00FAB005"/>
      </right>
      <top style="medium">
        <color rgb="00FAB005"/>
      </top>
    </border>
    <border>
      <left style="medium">
        <color rgb="00FAB005"/>
      </left>
      <right style="medium">
        <color rgb="00FAB005"/>
      </right>
    </border>
    <border>
      <left style="medium">
        <color rgb="00FAB005"/>
      </left>
      <right style="medium">
        <color rgb="00FAB005"/>
      </right>
      <bottom style="medium">
        <color rgb="00FAB005"/>
      </bottom>
    </border>
    <border>
      <left style="medium">
        <color rgb="0040C057"/>
      </left>
      <right style="medium">
        <color rgb="0040C057"/>
      </right>
      <top style="medium">
        <color rgb="0040C057"/>
      </top>
    </border>
    <border>
      <left style="medium">
        <color rgb="0040C057"/>
      </left>
      <right style="medium">
        <color rgb="0040C057"/>
      </right>
    </border>
    <border>
      <left style="medium">
        <color rgb="0040C057"/>
      </left>
      <right style="medium">
        <color rgb="0040C057"/>
      </right>
      <bottom style="medium">
        <color rgb="0040C057"/>
      </bottom>
    </border>
    <border>
      <left style="medium">
        <color rgb="004DABF7"/>
      </left>
      <right style="medium">
        <color rgb="004DABF7"/>
      </right>
      <top style="medium">
        <color rgb="004DABF7"/>
      </top>
    </border>
    <border>
      <left style="medium">
        <color rgb="004DABF7"/>
      </left>
      <right style="medium">
        <color rgb="004DABF7"/>
      </right>
    </border>
    <border>
      <left style="medium">
        <color rgb="004DABF7"/>
      </left>
      <right style="medium">
        <color rgb="004DABF7"/>
      </right>
      <bottom style="medium">
        <color rgb="004DABF7"/>
      </bottom>
    </border>
    <border>
      <left style="medium">
        <color rgb="00845EF7"/>
      </left>
      <right style="medium">
        <color rgb="00845EF7"/>
      </right>
      <top style="medium">
        <color rgb="00845EF7"/>
      </top>
    </border>
    <border>
      <left style="medium">
        <color rgb="00845EF7"/>
      </left>
      <right style="medium">
        <color rgb="00845EF7"/>
      </right>
    </border>
    <border>
      <left style="medium">
        <color rgb="00845EF7"/>
      </left>
      <right style="medium">
        <color rgb="00845EF7"/>
      </right>
      <bottom style="medium">
        <color rgb="00845EF7"/>
      </bottom>
    </border>
    <border>
      <left style="medium">
        <color rgb="00FF6B6B"/>
      </left>
      <top style="medium">
        <color rgb="00FF6B6B"/>
      </top>
    </border>
    <border>
      <top style="medium">
        <color rgb="00FF6B6B"/>
      </top>
    </border>
    <border>
      <right style="medium">
        <color rgb="00FF6B6B"/>
      </right>
      <top style="medium">
        <color rgb="00FF6B6B"/>
      </top>
    </border>
    <border>
      <left style="medium">
        <color rgb="00FF6B6B"/>
      </left>
    </border>
    <border/>
    <border>
      <right style="medium">
        <color rgb="00FF6B6B"/>
      </right>
    </border>
    <border>
      <left style="medium">
        <color rgb="00FF6B6B"/>
      </left>
      <bottom style="medium">
        <color rgb="00FF6B6B"/>
      </bottom>
    </border>
    <border>
      <bottom style="medium">
        <color rgb="00FF6B6B"/>
      </bottom>
    </border>
    <border>
      <right style="medium">
        <color rgb="00FF6B6B"/>
      </right>
      <bottom style="medium">
        <color rgb="00FF6B6B"/>
      </bottom>
    </border>
    <border>
      <left style="medium">
        <color rgb="00FAB005"/>
      </left>
      <top style="medium">
        <color rgb="00FAB005"/>
      </top>
    </border>
    <border>
      <top style="medium">
        <color rgb="00FAB005"/>
      </top>
    </border>
    <border>
      <right style="medium">
        <color rgb="00FAB005"/>
      </right>
      <top style="medium">
        <color rgb="00FAB005"/>
      </top>
    </border>
    <border>
      <left style="medium">
        <color rgb="00FAB005"/>
      </left>
    </border>
    <border>
      <right style="medium">
        <color rgb="00FAB005"/>
      </right>
    </border>
    <border>
      <left style="medium">
        <color rgb="00FAB005"/>
      </left>
      <bottom style="medium">
        <color rgb="00FAB005"/>
      </bottom>
    </border>
    <border>
      <bottom style="medium">
        <color rgb="00FAB005"/>
      </bottom>
    </border>
    <border>
      <right style="medium">
        <color rgb="00FAB005"/>
      </right>
      <bottom style="medium">
        <color rgb="00FAB005"/>
      </bottom>
    </border>
    <border>
      <left style="medium">
        <color rgb="0040C057"/>
      </left>
      <top style="medium">
        <color rgb="0040C057"/>
      </top>
    </border>
    <border>
      <top style="medium">
        <color rgb="0040C057"/>
      </top>
    </border>
    <border>
      <right style="medium">
        <color rgb="0040C057"/>
      </right>
      <top style="medium">
        <color rgb="0040C057"/>
      </top>
    </border>
    <border>
      <left style="medium">
        <color rgb="0040C057"/>
      </left>
    </border>
    <border>
      <right style="medium">
        <color rgb="0040C057"/>
      </right>
    </border>
    <border>
      <left style="medium">
        <color rgb="0040C057"/>
      </left>
      <bottom style="medium">
        <color rgb="0040C057"/>
      </bottom>
    </border>
    <border>
      <bottom style="medium">
        <color rgb="0040C057"/>
      </bottom>
    </border>
    <border>
      <right style="medium">
        <color rgb="0040C057"/>
      </right>
      <bottom style="medium">
        <color rgb="0040C057"/>
      </bottom>
    </border>
    <border>
      <left style="medium">
        <color rgb="004DABF7"/>
      </left>
      <top style="medium">
        <color rgb="004DABF7"/>
      </top>
    </border>
    <border>
      <top style="medium">
        <color rgb="004DABF7"/>
      </top>
    </border>
    <border>
      <right style="medium">
        <color rgb="004DABF7"/>
      </right>
      <top style="medium">
        <color rgb="004DABF7"/>
      </top>
    </border>
    <border>
      <left style="medium">
        <color rgb="004DABF7"/>
      </left>
    </border>
    <border>
      <right style="medium">
        <color rgb="004DABF7"/>
      </right>
    </border>
    <border>
      <left style="medium">
        <color rgb="004DABF7"/>
      </left>
      <bottom style="medium">
        <color rgb="004DABF7"/>
      </bottom>
    </border>
    <border>
      <bottom style="medium">
        <color rgb="004DABF7"/>
      </bottom>
    </border>
    <border>
      <right style="medium">
        <color rgb="004DABF7"/>
      </right>
      <bottom style="medium">
        <color rgb="004DABF7"/>
      </bottom>
    </border>
    <border>
      <left style="medium">
        <color rgb="00845EF7"/>
      </left>
      <top style="medium">
        <color rgb="00845EF7"/>
      </top>
    </border>
    <border>
      <top style="medium">
        <color rgb="00845EF7"/>
      </top>
    </border>
    <border>
      <right style="medium">
        <color rgb="00845EF7"/>
      </right>
      <top style="medium">
        <color rgb="00845EF7"/>
      </top>
    </border>
    <border>
      <left style="medium">
        <color rgb="00845EF7"/>
      </left>
    </border>
    <border>
      <right style="medium">
        <color rgb="00845EF7"/>
      </right>
    </border>
    <border>
      <left style="medium">
        <color rgb="00845EF7"/>
      </left>
      <bottom style="medium">
        <color rgb="00845EF7"/>
      </bottom>
    </border>
    <border>
      <bottom style="medium">
        <color rgb="00845EF7"/>
      </bottom>
    </border>
    <border>
      <right style="medium">
        <color rgb="00845EF7"/>
      </right>
      <bottom style="medium">
        <color rgb="00845EF7"/>
      </bottom>
    </border>
    <border>
      <left style="double">
        <color rgb="00F59F00"/>
      </left>
      <top style="double">
        <color rgb="00F59F00"/>
      </top>
    </border>
    <border>
      <top style="double">
        <color rgb="00F59F00"/>
      </top>
    </border>
    <border>
      <right style="double">
        <color rgb="00F59F00"/>
      </right>
      <top style="double">
        <color rgb="00F59F00"/>
      </top>
    </border>
    <border>
      <left style="double">
        <color rgb="00F59F00"/>
      </left>
    </border>
    <border>
      <left style="thin">
        <color rgb="00FCC419"/>
      </left>
      <top style="thin">
        <color rgb="00FCC419"/>
      </top>
    </border>
    <border>
      <top style="thin">
        <color rgb="00FCC419"/>
      </top>
    </border>
    <border>
      <right style="thin">
        <color rgb="00FCC419"/>
      </right>
      <top style="thin">
        <color rgb="00FCC419"/>
      </top>
    </border>
    <border>
      <right style="double">
        <color rgb="00F59F00"/>
      </right>
    </border>
    <border>
      <left style="thin">
        <color rgb="00FCC419"/>
      </left>
    </border>
    <border>
      <right style="thin">
        <color rgb="00FCC419"/>
      </right>
    </border>
    <border>
      <left style="thin">
        <color rgb="00FCC419"/>
      </left>
      <bottom style="thin">
        <color rgb="00FCC419"/>
      </bottom>
    </border>
    <border>
      <bottom style="thin">
        <color rgb="00FCC419"/>
      </bottom>
    </border>
    <border>
      <right style="thin">
        <color rgb="00FCC419"/>
      </right>
      <bottom style="thin">
        <color rgb="00FCC419"/>
      </bottom>
    </border>
    <border>
      <left style="double">
        <color rgb="00F59F00"/>
      </left>
      <bottom style="double">
        <color rgb="00F59F00"/>
      </bottom>
    </border>
    <border>
      <bottom style="double">
        <color rgb="00F59F00"/>
      </bottom>
    </border>
    <border>
      <right style="double">
        <color rgb="00F59F00"/>
      </right>
      <bottom style="double">
        <color rgb="00F59F00"/>
      </bottom>
    </border>
    <border>
      <left style="thin">
        <color rgb="00FCC419"/>
      </left>
      <right style="thin">
        <color rgb="00FCC419"/>
      </right>
    </border>
    <border>
      <left/>
      <right style="thin">
        <color rgb="00FCC419"/>
      </right>
      <top/>
      <bottom/>
      <diagonal/>
    </border>
    <border>
      <left style="medium">
        <color rgb="005C7CFA"/>
      </left>
      <top style="medium">
        <color rgb="005C7CFA"/>
      </top>
    </border>
    <border>
      <right style="medium">
        <color rgb="005C7CFA"/>
      </right>
      <top style="medium">
        <color rgb="005C7CFA"/>
      </top>
    </border>
    <border>
      <left style="medium">
        <color rgb="005C7CFA"/>
      </left>
    </border>
    <border>
      <right style="medium">
        <color rgb="005C7CFA"/>
      </right>
    </border>
    <border>
      <left style="medium">
        <color rgb="005C7CFA"/>
      </left>
      <bottom style="medium">
        <color rgb="005C7CFA"/>
      </bottom>
    </border>
    <border>
      <right style="medium">
        <color rgb="005C7CFA"/>
      </right>
      <bottom style="medium">
        <color rgb="005C7CFA"/>
      </bottom>
    </border>
    <border>
      <left style="medium">
        <color rgb="00339AF0"/>
      </left>
      <top style="medium">
        <color rgb="00339AF0"/>
      </top>
    </border>
    <border>
      <right style="medium">
        <color rgb="00339AF0"/>
      </right>
      <top style="medium">
        <color rgb="00339AF0"/>
      </top>
    </border>
    <border>
      <left style="medium">
        <color rgb="00339AF0"/>
      </left>
    </border>
    <border>
      <right style="medium">
        <color rgb="00339AF0"/>
      </right>
    </border>
    <border>
      <left style="medium">
        <color rgb="00339AF0"/>
      </left>
      <bottom style="medium">
        <color rgb="00339AF0"/>
      </bottom>
    </border>
    <border>
      <right style="medium">
        <color rgb="00339AF0"/>
      </right>
      <bottom style="medium">
        <color rgb="00339AF0"/>
      </bottom>
    </border>
    <border>
      <left style="medium">
        <color rgb="0022B8CF"/>
      </left>
      <top style="medium">
        <color rgb="0022B8CF"/>
      </top>
    </border>
    <border>
      <right style="medium">
        <color rgb="0022B8CF"/>
      </right>
      <top style="medium">
        <color rgb="0022B8CF"/>
      </top>
    </border>
    <border>
      <left style="medium">
        <color rgb="0022B8CF"/>
      </left>
    </border>
    <border>
      <right style="medium">
        <color rgb="0022B8CF"/>
      </right>
    </border>
    <border>
      <left style="medium">
        <color rgb="0022B8CF"/>
      </left>
      <bottom style="medium">
        <color rgb="0022B8CF"/>
      </bottom>
    </border>
    <border>
      <right style="medium">
        <color rgb="0022B8CF"/>
      </right>
      <bottom style="medium">
        <color rgb="0022B8CF"/>
      </bottom>
    </border>
    <border>
      <left style="medium">
        <color rgb="0020C997"/>
      </left>
      <top style="medium">
        <color rgb="0020C997"/>
      </top>
    </border>
    <border>
      <right style="medium">
        <color rgb="0020C997"/>
      </right>
      <top style="medium">
        <color rgb="0020C997"/>
      </top>
    </border>
    <border>
      <left style="medium">
        <color rgb="0020C997"/>
      </left>
    </border>
    <border>
      <right style="medium">
        <color rgb="0020C997"/>
      </right>
    </border>
    <border>
      <left style="medium">
        <color rgb="0020C997"/>
      </left>
      <bottom style="medium">
        <color rgb="0020C997"/>
      </bottom>
    </border>
    <border>
      <right style="medium">
        <color rgb="0020C997"/>
      </right>
      <bottom style="medium">
        <color rgb="0020C997"/>
      </bottom>
    </border>
    <border>
      <left style="medium">
        <color rgb="0051CF66"/>
      </left>
      <top style="medium">
        <color rgb="0051CF66"/>
      </top>
    </border>
    <border>
      <right style="medium">
        <color rgb="0051CF66"/>
      </right>
      <top style="medium">
        <color rgb="0051CF66"/>
      </top>
    </border>
    <border>
      <left style="medium">
        <color rgb="0051CF66"/>
      </left>
    </border>
    <border>
      <right style="medium">
        <color rgb="0051CF66"/>
      </right>
    </border>
    <border>
      <left style="medium">
        <color rgb="0051CF66"/>
      </left>
      <bottom style="medium">
        <color rgb="0051CF66"/>
      </bottom>
    </border>
    <border>
      <right style="medium">
        <color rgb="0051CF66"/>
      </right>
      <bottom style="medium">
        <color rgb="0051CF66"/>
      </bottom>
    </border>
    <border>
      <left style="medium">
        <color rgb="0094D82D"/>
      </left>
      <top style="medium">
        <color rgb="0094D82D"/>
      </top>
    </border>
    <border>
      <right style="medium">
        <color rgb="0094D82D"/>
      </right>
      <top style="medium">
        <color rgb="0094D82D"/>
      </top>
    </border>
    <border>
      <left style="medium">
        <color rgb="0094D82D"/>
      </left>
    </border>
    <border>
      <right style="medium">
        <color rgb="0094D82D"/>
      </right>
    </border>
    <border>
      <left style="medium">
        <color rgb="0094D82D"/>
      </left>
      <bottom style="medium">
        <color rgb="0094D82D"/>
      </bottom>
    </border>
    <border>
      <right style="medium">
        <color rgb="0094D82D"/>
      </right>
      <bottom style="medium">
        <color rgb="0094D82D"/>
      </bottom>
    </border>
    <border>
      <left style="medium">
        <color rgb="00FCC419"/>
      </left>
      <top style="medium">
        <color rgb="00FCC419"/>
      </top>
    </border>
    <border>
      <right style="medium">
        <color rgb="00FCC419"/>
      </right>
      <top style="medium">
        <color rgb="00FCC419"/>
      </top>
    </border>
    <border>
      <left style="medium">
        <color rgb="00FCC419"/>
      </left>
    </border>
    <border>
      <right style="medium">
        <color rgb="00FCC419"/>
      </right>
    </border>
    <border>
      <left style="medium">
        <color rgb="00FCC419"/>
      </left>
      <bottom style="medium">
        <color rgb="00FCC419"/>
      </bottom>
    </border>
    <border>
      <right style="medium">
        <color rgb="00FCC419"/>
      </right>
      <bottom style="medium">
        <color rgb="00FCC419"/>
      </bottom>
    </border>
    <border>
      <left style="medium">
        <color rgb="00FF922B"/>
      </left>
      <top style="medium">
        <color rgb="00FF922B"/>
      </top>
    </border>
    <border>
      <right style="medium">
        <color rgb="00FF922B"/>
      </right>
      <top style="medium">
        <color rgb="00FF922B"/>
      </top>
    </border>
    <border>
      <left style="medium">
        <color rgb="00FF922B"/>
      </left>
    </border>
    <border>
      <right style="medium">
        <color rgb="00FF922B"/>
      </right>
    </border>
    <border>
      <left style="medium">
        <color rgb="00FF922B"/>
      </left>
      <bottom style="medium">
        <color rgb="00FF922B"/>
      </bottom>
    </border>
    <border>
      <right style="medium">
        <color rgb="00FF922B"/>
      </right>
      <bottom style="medium">
        <color rgb="00FF922B"/>
      </bottom>
    </border>
    <border>
      <left style="medium">
        <color rgb="00F06595"/>
      </left>
      <top style="medium">
        <color rgb="00F06595"/>
      </top>
    </border>
    <border>
      <right style="medium">
        <color rgb="00F06595"/>
      </right>
      <top style="medium">
        <color rgb="00F06595"/>
      </top>
    </border>
    <border>
      <left style="medium">
        <color rgb="00F06595"/>
      </left>
    </border>
    <border>
      <right style="medium">
        <color rgb="00F06595"/>
      </right>
    </border>
    <border>
      <left style="medium">
        <color rgb="00F06595"/>
      </left>
      <bottom style="medium">
        <color rgb="00F06595"/>
      </bottom>
    </border>
    <border>
      <right style="medium">
        <color rgb="00F06595"/>
      </right>
      <bottom style="medium">
        <color rgb="00F06595"/>
      </bottom>
    </border>
    <border>
      <left style="medium">
        <color rgb="00CC5DE8"/>
      </left>
      <top style="medium">
        <color rgb="00CC5DE8"/>
      </top>
    </border>
    <border>
      <right style="medium">
        <color rgb="00CC5DE8"/>
      </right>
      <top style="medium">
        <color rgb="00CC5DE8"/>
      </top>
    </border>
    <border>
      <left style="medium">
        <color rgb="00CC5DE8"/>
      </left>
    </border>
    <border>
      <right style="medium">
        <color rgb="00CC5DE8"/>
      </right>
    </border>
    <border>
      <left style="medium">
        <color rgb="00CC5DE8"/>
      </left>
      <bottom style="medium">
        <color rgb="00CC5DE8"/>
      </bottom>
    </border>
    <border>
      <right style="medium">
        <color rgb="00CC5DE8"/>
      </right>
      <bottom style="medium">
        <color rgb="00CC5DE8"/>
      </bottom>
    </border>
    <border>
      <bottom style="medium">
        <color rgb="008F9396"/>
      </bottom>
    </border>
    <border>
      <left style="medium">
        <color rgb="0012B886"/>
      </left>
      <right style="thin">
        <color rgb="00CED4DA"/>
      </right>
      <top style="thin">
        <color rgb="00CED4DA"/>
      </top>
      <bottom style="thin">
        <color rgb="00CED4DA"/>
      </bottom>
    </border>
    <border>
      <left style="medium">
        <color rgb="0012B886"/>
      </left>
      <right/>
      <top/>
      <bottom/>
    </border>
    <border>
      <bottom style="medium">
        <color rgb="009B9FA3"/>
      </bottom>
    </border>
    <border>
      <left style="medium">
        <color rgb="00EDA3BD"/>
      </left>
      <top style="medium">
        <color rgb="00EDA3BD"/>
      </top>
    </border>
    <border>
      <right style="medium">
        <color rgb="00EDA3BD"/>
      </right>
      <top style="medium">
        <color rgb="00EDA3BD"/>
      </top>
    </border>
    <border>
      <left style="medium">
        <color rgb="00EDA3BD"/>
      </left>
      <bottom style="medium">
        <color rgb="00EDA3BD"/>
      </bottom>
    </border>
    <border>
      <right style="medium">
        <color rgb="00EDA3BD"/>
      </right>
      <bottom style="medium">
        <color rgb="00EDA3BD"/>
      </bottom>
    </border>
    <border>
      <left style="medium">
        <color rgb="0098BFE4"/>
      </left>
      <top style="medium">
        <color rgb="0098BFE4"/>
      </top>
    </border>
    <border>
      <right style="medium">
        <color rgb="0098BFE4"/>
      </right>
      <top style="medium">
        <color rgb="0098BFE4"/>
      </top>
    </border>
    <border>
      <left style="medium">
        <color rgb="0098BFE4"/>
      </left>
      <bottom style="medium">
        <color rgb="0098BFE4"/>
      </bottom>
    </border>
    <border>
      <right style="medium">
        <color rgb="0098BFE4"/>
      </right>
      <bottom style="medium">
        <color rgb="0098BFE4"/>
      </bottom>
    </border>
    <border>
      <left style="medium">
        <color rgb="00A0CAA8"/>
      </left>
      <top style="medium">
        <color rgb="00A0CAA8"/>
      </top>
    </border>
    <border>
      <right style="medium">
        <color rgb="00A0CAA8"/>
      </right>
      <top style="medium">
        <color rgb="00A0CAA8"/>
      </top>
    </border>
    <border>
      <left style="medium">
        <color rgb="00A0CAA8"/>
      </left>
      <bottom style="medium">
        <color rgb="00A0CAA8"/>
      </bottom>
    </border>
    <border>
      <right style="medium">
        <color rgb="00A0CAA8"/>
      </right>
      <bottom style="medium">
        <color rgb="00A0CAA8"/>
      </bottom>
    </border>
    <border>
      <left style="medium">
        <color rgb="00DFC39A"/>
      </left>
      <top style="medium">
        <color rgb="00DFC39A"/>
      </top>
    </border>
    <border>
      <right style="medium">
        <color rgb="00DFC39A"/>
      </right>
      <top style="medium">
        <color rgb="00DFC39A"/>
      </top>
    </border>
    <border>
      <left style="medium">
        <color rgb="00DFC39A"/>
      </left>
      <bottom style="medium">
        <color rgb="00DFC39A"/>
      </bottom>
    </border>
    <border>
      <right style="medium">
        <color rgb="00DFC39A"/>
      </right>
      <bottom style="medium">
        <color rgb="00DFC39A"/>
      </bottom>
    </border>
    <border>
      <left style="medium">
        <color rgb="0099CCF8"/>
      </left>
      <top style="medium">
        <color rgb="0099CCF8"/>
      </top>
    </border>
    <border>
      <right style="medium">
        <color rgb="0099CCF8"/>
      </right>
      <top style="medium">
        <color rgb="0099CCF8"/>
      </top>
    </border>
    <border>
      <left style="medium">
        <color rgb="0099CCF8"/>
      </left>
    </border>
    <border>
      <right style="medium">
        <color rgb="0099CCF8"/>
      </right>
    </border>
    <border>
      <left style="medium">
        <color rgb="0099CCF8"/>
      </left>
      <bottom style="medium">
        <color rgb="0099CCF8"/>
      </bottom>
    </border>
    <border>
      <right style="medium">
        <color rgb="0099CCF8"/>
      </right>
      <bottom style="medium">
        <color rgb="0099CCF8"/>
      </bottom>
    </border>
    <border>
      <left style="medium">
        <color rgb="00A6D5FB"/>
      </left>
      <top style="medium">
        <color rgb="00A6D5FB"/>
      </top>
    </border>
    <border>
      <right style="medium">
        <color rgb="00A6D5FB"/>
      </right>
      <top style="medium">
        <color rgb="00A6D5FB"/>
      </top>
    </border>
    <border>
      <left style="medium">
        <color rgb="00A6D5FB"/>
      </left>
    </border>
    <border>
      <right style="medium">
        <color rgb="00A6D5FB"/>
      </right>
    </border>
    <border>
      <left style="medium">
        <color rgb="00A6D5FB"/>
      </left>
      <bottom style="medium">
        <color rgb="00A6D5FB"/>
      </bottom>
    </border>
    <border>
      <right style="medium">
        <color rgb="00A6D5FB"/>
      </right>
      <bottom style="medium">
        <color rgb="00A6D5FB"/>
      </bottom>
    </border>
    <border>
      <left style="medium">
        <color rgb="008EBEEA"/>
      </left>
      <top style="medium">
        <color rgb="008EBEEA"/>
      </top>
    </border>
    <border>
      <right style="medium">
        <color rgb="008EBEEA"/>
      </right>
      <top style="medium">
        <color rgb="008EBEEA"/>
      </top>
    </border>
    <border>
      <left style="medium">
        <color rgb="008EBEEA"/>
      </left>
    </border>
    <border>
      <right style="medium">
        <color rgb="008EBEEA"/>
      </right>
    </border>
    <border>
      <left style="medium">
        <color rgb="008EBEEA"/>
      </left>
      <bottom style="medium">
        <color rgb="008EBEEA"/>
      </bottom>
    </border>
    <border>
      <right style="medium">
        <color rgb="008EBEEA"/>
      </right>
      <bottom style="medium">
        <color rgb="008EBEEA"/>
      </bottom>
    </border>
    <border>
      <left style="medium">
        <color rgb="00C2C6CA"/>
      </left>
      <top style="medium">
        <color rgb="00C2C6CA"/>
      </top>
    </border>
    <border>
      <right style="medium">
        <color rgb="00C2C6CA"/>
      </right>
      <top style="medium">
        <color rgb="00C2C6CA"/>
      </top>
    </border>
    <border>
      <left style="medium">
        <color rgb="00C2C6CA"/>
      </left>
    </border>
    <border>
      <right style="medium">
        <color rgb="00C2C6CA"/>
      </right>
    </border>
    <border>
      <left style="medium">
        <color rgb="00C2C6CA"/>
      </left>
      <bottom style="medium">
        <color rgb="00C2C6CA"/>
      </bottom>
    </border>
    <border>
      <right style="medium">
        <color rgb="00C2C6CA"/>
      </right>
      <bottom style="medium">
        <color rgb="00C2C6CA"/>
      </bottom>
    </border>
    <border>
      <left style="medium">
        <color rgb="00FFB5B5"/>
      </left>
      <top style="medium">
        <color rgb="00FFB5B5"/>
      </top>
    </border>
    <border>
      <right style="medium">
        <color rgb="00FFB5B5"/>
      </right>
      <top style="medium">
        <color rgb="00FFB5B5"/>
      </top>
    </border>
    <border>
      <left style="medium">
        <color rgb="00FFB5B5"/>
      </left>
    </border>
    <border>
      <right style="medium">
        <color rgb="00FFB5B5"/>
      </right>
    </border>
    <border>
      <left style="medium">
        <color rgb="00FFB5B5"/>
      </left>
      <bottom style="medium">
        <color rgb="00FFB5B5"/>
      </bottom>
    </border>
    <border>
      <right style="medium">
        <color rgb="00FFB5B5"/>
      </right>
      <bottom style="medium">
        <color rgb="00FFB5B5"/>
      </bottom>
    </border>
    <border>
      <left style="medium">
        <color rgb="00FCA8A8"/>
      </left>
      <top style="medium">
        <color rgb="00FCA8A8"/>
      </top>
    </border>
    <border>
      <right style="medium">
        <color rgb="00FCA8A8"/>
      </right>
      <top style="medium">
        <color rgb="00FCA8A8"/>
      </top>
    </border>
    <border>
      <left style="medium">
        <color rgb="00FCA8A8"/>
      </left>
    </border>
    <border>
      <right style="medium">
        <color rgb="00FCA8A8"/>
      </right>
    </border>
    <border>
      <left style="medium">
        <color rgb="00FCA8A8"/>
      </left>
      <bottom style="medium">
        <color rgb="00FCA8A8"/>
      </bottom>
    </border>
    <border>
      <right style="medium">
        <color rgb="00FCA8A8"/>
      </right>
      <bottom style="medium">
        <color rgb="00FCA8A8"/>
      </bottom>
    </border>
    <border>
      <left style="medium">
        <color rgb="0090DCE7"/>
      </left>
      <top style="medium">
        <color rgb="0090DCE7"/>
      </top>
    </border>
    <border>
      <right style="medium">
        <color rgb="0090DCE7"/>
      </right>
      <top style="medium">
        <color rgb="0090DCE7"/>
      </top>
    </border>
    <border>
      <left style="medium">
        <color rgb="0090DCE7"/>
      </left>
    </border>
    <border>
      <right style="medium">
        <color rgb="0090DCE7"/>
      </right>
    </border>
    <border>
      <left style="medium">
        <color rgb="0090DCE7"/>
      </left>
      <bottom style="medium">
        <color rgb="0090DCE7"/>
      </bottom>
    </border>
    <border>
      <right style="medium">
        <color rgb="0090DCE7"/>
      </right>
      <bottom style="medium">
        <color rgb="0090DCE7"/>
      </bottom>
    </border>
    <border>
      <left style="medium">
        <color rgb="00FFC895"/>
      </left>
      <top style="medium">
        <color rgb="00FFC895"/>
      </top>
    </border>
    <border>
      <right style="medium">
        <color rgb="00FFC895"/>
      </right>
      <top style="medium">
        <color rgb="00FFC895"/>
      </top>
    </border>
    <border>
      <left style="medium">
        <color rgb="00FFC895"/>
      </left>
    </border>
    <border>
      <right style="medium">
        <color rgb="00FFC895"/>
      </right>
    </border>
    <border>
      <left style="medium">
        <color rgb="00FFC895"/>
      </left>
      <bottom style="medium">
        <color rgb="00FFC895"/>
      </bottom>
    </border>
    <border>
      <right style="medium">
        <color rgb="00FFC895"/>
      </right>
      <bottom style="medium">
        <color rgb="00FFC895"/>
      </bottom>
    </border>
    <border>
      <left style="medium">
        <color rgb="00D6DADE"/>
      </left>
      <top style="medium">
        <color rgb="00D6DADE"/>
      </top>
    </border>
    <border>
      <right style="medium">
        <color rgb="00D6DADE"/>
      </right>
      <top style="medium">
        <color rgb="00D6DADE"/>
      </top>
    </border>
    <border>
      <left style="medium">
        <color rgb="00D6DADE"/>
      </left>
    </border>
    <border>
      <right style="medium">
        <color rgb="00D6DADE"/>
      </right>
    </border>
    <border>
      <left style="medium">
        <color rgb="00D6DADE"/>
      </left>
      <bottom style="medium">
        <color rgb="00D6DADE"/>
      </bottom>
    </border>
    <border>
      <right style="medium">
        <color rgb="00D6DADE"/>
      </right>
      <bottom style="medium">
        <color rgb="00D6DADE"/>
      </bottom>
    </border>
    <border>
      <left style="medium">
        <color rgb="00C2AEFB"/>
      </left>
      <top style="medium">
        <color rgb="00C2AEFB"/>
      </top>
    </border>
    <border>
      <right style="medium">
        <color rgb="00C2AEFB"/>
      </right>
      <top style="medium">
        <color rgb="00C2AEFB"/>
      </top>
    </border>
    <border>
      <left style="medium">
        <color rgb="00C2AEFB"/>
      </left>
    </border>
    <border>
      <right style="medium">
        <color rgb="00C2AEFB"/>
      </right>
    </border>
    <border>
      <left style="medium">
        <color rgb="00C2AEFB"/>
      </left>
      <bottom style="medium">
        <color rgb="00C2AEFB"/>
      </bottom>
    </border>
    <border>
      <right style="medium">
        <color rgb="00C2AEFB"/>
      </right>
      <bottom style="medium">
        <color rgb="00C2AEFB"/>
      </bottom>
    </border>
    <border>
      <left style="medium">
        <color rgb="00FCC2D7"/>
      </left>
      <top style="medium">
        <color rgb="00FCC2D7"/>
      </top>
    </border>
    <border>
      <left style="medium">
        <color rgb="00FCC2D7"/>
      </left>
      <bottom style="medium">
        <color rgb="00FCC2D7"/>
      </bottom>
    </border>
    <border>
      <top style="medium">
        <color rgb="00FCC2D7"/>
      </top>
    </border>
    <border>
      <bottom style="medium">
        <color rgb="00FCC2D7"/>
      </bottom>
    </border>
    <border>
      <right style="medium">
        <color rgb="00FCC2D7"/>
      </right>
      <top style="medium">
        <color rgb="00FCC2D7"/>
      </top>
    </border>
    <border>
      <right style="medium">
        <color rgb="00FCC2D7"/>
      </right>
      <bottom style="medium">
        <color rgb="00FCC2D7"/>
      </bottom>
    </border>
    <border>
      <left style="medium">
        <color rgb="00FCC2D7"/>
      </left>
    </border>
    <border>
      <right style="medium">
        <color rgb="00FCC2D7"/>
      </right>
    </border>
  </borders>
  <cellStyleXfs count="1">
    <xf numFmtId="0" fontId="0" fillId="0" borderId="0"/>
  </cellStyleXfs>
  <cellXfs count="1149">
    <xf numFmtId="0" fontId="0" fillId="0" borderId="0" pivotButton="0" quotePrefix="0" xfId="0"/>
    <xf numFmtId="0" fontId="0" fillId="105" borderId="0" pivotButton="0" quotePrefix="0" xfId="0"/>
    <xf numFmtId="0" fontId="0" fillId="106" borderId="0" pivotButton="0" quotePrefix="0" xfId="0"/>
    <xf numFmtId="0" fontId="0" fillId="107" borderId="0" pivotButton="0" quotePrefix="0" xfId="0"/>
    <xf numFmtId="0" fontId="0" fillId="108" borderId="0" pivotButton="0" quotePrefix="0" xfId="0"/>
    <xf numFmtId="0" fontId="0" fillId="109" borderId="0" pivotButton="0" quotePrefix="0" xfId="0"/>
    <xf numFmtId="0" fontId="0" fillId="110" borderId="0" pivotButton="0" quotePrefix="0" xfId="0"/>
    <xf numFmtId="0" fontId="0" fillId="104" borderId="0" pivotButton="0" quotePrefix="0" xfId="0"/>
    <xf numFmtId="0" fontId="191" fillId="104" borderId="0" applyAlignment="1" pivotButton="0" quotePrefix="0" xfId="0">
      <alignment horizontal="left" vertical="center"/>
    </xf>
    <xf numFmtId="0" fontId="126" fillId="104" borderId="0" applyAlignment="1" pivotButton="0" quotePrefix="0" xfId="0">
      <alignment horizontal="right" vertical="center"/>
    </xf>
    <xf numFmtId="0" fontId="192" fillId="104" borderId="0" applyAlignment="1" pivotButton="0" quotePrefix="0" xfId="0">
      <alignment horizontal="left" vertical="center"/>
    </xf>
    <xf numFmtId="0" fontId="193" fillId="111" borderId="191" applyAlignment="1" pivotButton="0" quotePrefix="0" xfId="0">
      <alignment horizontal="left" vertical="bottom" indent="9"/>
    </xf>
    <xf numFmtId="0" fontId="0" fillId="111" borderId="192" pivotButton="0" quotePrefix="0" xfId="0"/>
    <xf numFmtId="0" fontId="194" fillId="112" borderId="195" applyAlignment="1" pivotButton="0" quotePrefix="0" xfId="0">
      <alignment horizontal="left" vertical="bottom" indent="9"/>
    </xf>
    <xf numFmtId="0" fontId="0" fillId="112" borderId="196" pivotButton="0" quotePrefix="0" xfId="0"/>
    <xf numFmtId="0" fontId="113" fillId="113" borderId="199" applyAlignment="1" pivotButton="0" quotePrefix="0" xfId="0">
      <alignment horizontal="left" vertical="bottom" indent="9"/>
    </xf>
    <xf numFmtId="0" fontId="0" fillId="113" borderId="200" pivotButton="0" quotePrefix="0" xfId="0"/>
    <xf numFmtId="0" fontId="197" fillId="114" borderId="203" applyAlignment="1" pivotButton="0" quotePrefix="0" xfId="0">
      <alignment horizontal="left" vertical="bottom" indent="9"/>
    </xf>
    <xf numFmtId="0" fontId="0" fillId="114" borderId="204" pivotButton="0" quotePrefix="0" xfId="0"/>
    <xf numFmtId="0" fontId="124" fillId="111" borderId="193" applyAlignment="1" pivotButton="0" quotePrefix="0" xfId="0">
      <alignment horizontal="left" vertical="center" indent="9"/>
    </xf>
    <xf numFmtId="0" fontId="0" fillId="111" borderId="194" pivotButton="0" quotePrefix="0" xfId="0"/>
    <xf numFmtId="0" fontId="195" fillId="112" borderId="197" applyAlignment="1" pivotButton="0" quotePrefix="0" xfId="0">
      <alignment horizontal="left" vertical="center" indent="9"/>
    </xf>
    <xf numFmtId="0" fontId="0" fillId="112" borderId="198" pivotButton="0" quotePrefix="0" xfId="0"/>
    <xf numFmtId="0" fontId="196" fillId="113" borderId="201" applyAlignment="1" pivotButton="0" quotePrefix="0" xfId="0">
      <alignment horizontal="left" vertical="center" indent="9"/>
    </xf>
    <xf numFmtId="0" fontId="0" fillId="113" borderId="202" pivotButton="0" quotePrefix="0" xfId="0"/>
    <xf numFmtId="0" fontId="198" fillId="114" borderId="205" applyAlignment="1" pivotButton="0" quotePrefix="0" xfId="0">
      <alignment horizontal="left" vertical="center" indent="9"/>
    </xf>
    <xf numFmtId="0" fontId="0" fillId="114" borderId="206" pivotButton="0" quotePrefix="0" xfId="0"/>
    <xf numFmtId="0" fontId="199" fillId="104" borderId="0" applyAlignment="1" pivotButton="0" quotePrefix="0" xfId="0">
      <alignment horizontal="left" vertical="center"/>
    </xf>
    <xf numFmtId="0" fontId="57" fillId="115" borderId="207" applyAlignment="1" pivotButton="0" quotePrefix="0" xfId="0">
      <alignment horizontal="center" vertical="center" wrapText="1"/>
    </xf>
    <xf numFmtId="0" fontId="200" fillId="115" borderId="208" applyAlignment="1" pivotButton="0" quotePrefix="0" xfId="0">
      <alignment horizontal="right" vertical="top" indent="1"/>
    </xf>
    <xf numFmtId="0" fontId="57" fillId="116" borderId="213" applyAlignment="1" pivotButton="0" quotePrefix="0" xfId="0">
      <alignment horizontal="center" vertical="center" wrapText="1"/>
    </xf>
    <xf numFmtId="0" fontId="203" fillId="116" borderId="214" applyAlignment="1" pivotButton="0" quotePrefix="0" xfId="0">
      <alignment horizontal="right" vertical="top" indent="1"/>
    </xf>
    <xf numFmtId="0" fontId="57" fillId="117" borderId="219" applyAlignment="1" pivotButton="0" quotePrefix="0" xfId="0">
      <alignment horizontal="center" vertical="center" wrapText="1"/>
    </xf>
    <xf numFmtId="0" fontId="206" fillId="117" borderId="220" applyAlignment="1" pivotButton="0" quotePrefix="0" xfId="0">
      <alignment horizontal="right" vertical="top" indent="1"/>
    </xf>
    <xf numFmtId="0" fontId="57" fillId="118" borderId="225" applyAlignment="1" pivotButton="0" quotePrefix="0" xfId="0">
      <alignment horizontal="center" vertical="center" wrapText="1"/>
    </xf>
    <xf numFmtId="0" fontId="209" fillId="118" borderId="226" applyAlignment="1" pivotButton="0" quotePrefix="0" xfId="0">
      <alignment horizontal="right" vertical="top" indent="1"/>
    </xf>
    <xf numFmtId="0" fontId="201" fillId="115" borderId="209" applyAlignment="1" pivotButton="0" quotePrefix="0" xfId="0">
      <alignment horizontal="left" vertical="center" indent="1"/>
    </xf>
    <xf numFmtId="0" fontId="0" fillId="115" borderId="210" pivotButton="0" quotePrefix="0" xfId="0"/>
    <xf numFmtId="0" fontId="204" fillId="116" borderId="215" applyAlignment="1" pivotButton="0" quotePrefix="0" xfId="0">
      <alignment horizontal="left" vertical="center" indent="1"/>
    </xf>
    <xf numFmtId="0" fontId="0" fillId="116" borderId="216" pivotButton="0" quotePrefix="0" xfId="0"/>
    <xf numFmtId="0" fontId="207" fillId="117" borderId="221" applyAlignment="1" pivotButton="0" quotePrefix="0" xfId="0">
      <alignment horizontal="left" vertical="center" indent="1"/>
    </xf>
    <xf numFmtId="0" fontId="0" fillId="117" borderId="222" pivotButton="0" quotePrefix="0" xfId="0"/>
    <xf numFmtId="0" fontId="210" fillId="118" borderId="227" applyAlignment="1" pivotButton="0" quotePrefix="0" xfId="0">
      <alignment horizontal="left" vertical="center" indent="1"/>
    </xf>
    <xf numFmtId="0" fontId="0" fillId="118" borderId="228" pivotButton="0" quotePrefix="0" xfId="0"/>
    <xf numFmtId="0" fontId="202" fillId="5" borderId="211" applyAlignment="1" pivotButton="0" quotePrefix="0" xfId="0">
      <alignment horizontal="center" vertical="center" wrapText="1"/>
    </xf>
    <xf numFmtId="0" fontId="0" fillId="5" borderId="212" pivotButton="0" quotePrefix="0" xfId="0"/>
    <xf numFmtId="0" fontId="205" fillId="5" borderId="217" applyAlignment="1" pivotButton="0" quotePrefix="0" xfId="0">
      <alignment horizontal="center" vertical="center" wrapText="1"/>
    </xf>
    <xf numFmtId="0" fontId="0" fillId="5" borderId="218" pivotButton="0" quotePrefix="0" xfId="0"/>
    <xf numFmtId="0" fontId="208" fillId="5" borderId="223" applyAlignment="1" pivotButton="0" quotePrefix="0" xfId="0">
      <alignment horizontal="center" vertical="center" wrapText="1"/>
    </xf>
    <xf numFmtId="0" fontId="0" fillId="5" borderId="224" pivotButton="0" quotePrefix="0" xfId="0"/>
    <xf numFmtId="0" fontId="211" fillId="9" borderId="229" applyAlignment="1" pivotButton="0" quotePrefix="0" xfId="0">
      <alignment horizontal="center" vertical="center" wrapText="1"/>
    </xf>
    <xf numFmtId="0" fontId="0" fillId="9" borderId="230" pivotButton="0" quotePrefix="0" xfId="0"/>
    <xf numFmtId="0" fontId="57" fillId="119" borderId="231" applyAlignment="1" pivotButton="0" quotePrefix="0" xfId="0">
      <alignment horizontal="center" vertical="center" wrapText="1"/>
    </xf>
    <xf numFmtId="0" fontId="212" fillId="119" borderId="232" applyAlignment="1" pivotButton="0" quotePrefix="0" xfId="0">
      <alignment horizontal="right" vertical="top" indent="1"/>
    </xf>
    <xf numFmtId="0" fontId="57" fillId="120" borderId="237" applyAlignment="1" pivotButton="0" quotePrefix="0" xfId="0">
      <alignment horizontal="center" vertical="center" wrapText="1"/>
    </xf>
    <xf numFmtId="0" fontId="212" fillId="120" borderId="238" applyAlignment="1" pivotButton="0" quotePrefix="0" xfId="0">
      <alignment horizontal="right" vertical="top" indent="1"/>
    </xf>
    <xf numFmtId="0" fontId="57" fillId="121" borderId="243" applyAlignment="1" pivotButton="0" quotePrefix="0" xfId="0">
      <alignment horizontal="center" vertical="center" wrapText="1"/>
    </xf>
    <xf numFmtId="0" fontId="215" fillId="121" borderId="244" applyAlignment="1" pivotButton="0" quotePrefix="0" xfId="0">
      <alignment horizontal="right" vertical="top" indent="1"/>
    </xf>
    <xf numFmtId="0" fontId="213" fillId="119" borderId="233" applyAlignment="1" pivotButton="0" quotePrefix="0" xfId="0">
      <alignment horizontal="left" vertical="center" indent="1"/>
    </xf>
    <xf numFmtId="0" fontId="0" fillId="119" borderId="234" pivotButton="0" quotePrefix="0" xfId="0"/>
    <xf numFmtId="0" fontId="213" fillId="120" borderId="239" applyAlignment="1" pivotButton="0" quotePrefix="0" xfId="0">
      <alignment horizontal="left" vertical="center" indent="1"/>
    </xf>
    <xf numFmtId="0" fontId="0" fillId="120" borderId="240" pivotButton="0" quotePrefix="0" xfId="0"/>
    <xf numFmtId="0" fontId="216" fillId="121" borderId="245" applyAlignment="1" pivotButton="0" quotePrefix="0" xfId="0">
      <alignment horizontal="left" vertical="center" indent="1"/>
    </xf>
    <xf numFmtId="0" fontId="0" fillId="121" borderId="246" pivotButton="0" quotePrefix="0" xfId="0"/>
    <xf numFmtId="0" fontId="214" fillId="6" borderId="235" applyAlignment="1" pivotButton="0" quotePrefix="0" xfId="0">
      <alignment horizontal="center" vertical="center" wrapText="1"/>
    </xf>
    <xf numFmtId="0" fontId="214" fillId="6" borderId="236" applyAlignment="1" pivotButton="0" quotePrefix="0" xfId="0">
      <alignment horizontal="center" vertical="center" wrapText="1"/>
    </xf>
    <xf numFmtId="0" fontId="214" fillId="6" borderId="241" applyAlignment="1" pivotButton="0" quotePrefix="0" xfId="0">
      <alignment horizontal="center" vertical="center" wrapText="1"/>
    </xf>
    <xf numFmtId="0" fontId="0" fillId="6" borderId="242" pivotButton="0" quotePrefix="0" xfId="0"/>
    <xf numFmtId="0" fontId="205" fillId="5" borderId="218" applyAlignment="1" pivotButton="0" quotePrefix="0" xfId="0">
      <alignment horizontal="center" vertical="center" wrapText="1"/>
    </xf>
    <xf numFmtId="0" fontId="217" fillId="72" borderId="247" applyAlignment="1" pivotButton="0" quotePrefix="0" xfId="0">
      <alignment horizontal="center" vertical="center" wrapText="1"/>
    </xf>
    <xf numFmtId="0" fontId="217" fillId="72" borderId="248" applyAlignment="1" pivotButton="0" quotePrefix="0" xfId="0">
      <alignment horizontal="center" vertical="center" wrapText="1"/>
    </xf>
    <xf numFmtId="0" fontId="57" fillId="122" borderId="249" applyAlignment="1" pivotButton="0" quotePrefix="0" xfId="0">
      <alignment horizontal="center" vertical="center" wrapText="1"/>
    </xf>
    <xf numFmtId="0" fontId="218" fillId="122" borderId="250" applyAlignment="1" pivotButton="0" quotePrefix="0" xfId="0">
      <alignment horizontal="right" vertical="top" indent="1"/>
    </xf>
    <xf numFmtId="0" fontId="57" fillId="123" borderId="255" applyAlignment="1" pivotButton="0" quotePrefix="0" xfId="0">
      <alignment horizontal="center" vertical="center" wrapText="1"/>
    </xf>
    <xf numFmtId="0" fontId="221" fillId="123" borderId="256" applyAlignment="1" pivotButton="0" quotePrefix="0" xfId="0">
      <alignment horizontal="right" vertical="top" indent="1"/>
    </xf>
    <xf numFmtId="0" fontId="219" fillId="122" borderId="251" applyAlignment="1" pivotButton="0" quotePrefix="0" xfId="0">
      <alignment horizontal="left" vertical="center" indent="1"/>
    </xf>
    <xf numFmtId="0" fontId="0" fillId="122" borderId="252" pivotButton="0" quotePrefix="0" xfId="0"/>
    <xf numFmtId="0" fontId="222" fillId="123" borderId="257" applyAlignment="1" pivotButton="0" quotePrefix="0" xfId="0">
      <alignment horizontal="left" vertical="center" indent="1"/>
    </xf>
    <xf numFmtId="0" fontId="0" fillId="123" borderId="258" pivotButton="0" quotePrefix="0" xfId="0"/>
    <xf numFmtId="0" fontId="220" fillId="37" borderId="253" applyAlignment="1" pivotButton="0" quotePrefix="0" xfId="0">
      <alignment horizontal="center" vertical="center" wrapText="1"/>
    </xf>
    <xf numFmtId="0" fontId="220" fillId="37" borderId="254" applyAlignment="1" pivotButton="0" quotePrefix="0" xfId="0">
      <alignment horizontal="center" vertical="center" wrapText="1"/>
    </xf>
    <xf numFmtId="0" fontId="223" fillId="96" borderId="259" applyAlignment="1" pivotButton="0" quotePrefix="0" xfId="0">
      <alignment horizontal="center" vertical="center" wrapText="1"/>
    </xf>
    <xf numFmtId="0" fontId="0" fillId="96" borderId="260" pivotButton="0" quotePrefix="0" xfId="0"/>
    <xf numFmtId="0" fontId="57" fillId="124" borderId="261" applyAlignment="1" pivotButton="0" quotePrefix="0" xfId="0">
      <alignment horizontal="center" vertical="center" wrapText="1"/>
    </xf>
    <xf numFmtId="0" fontId="224" fillId="124" borderId="262" applyAlignment="1" pivotButton="0" quotePrefix="0" xfId="0">
      <alignment horizontal="right" vertical="top" indent="1"/>
    </xf>
    <xf numFmtId="0" fontId="225" fillId="124" borderId="263" applyAlignment="1" pivotButton="0" quotePrefix="0" xfId="0">
      <alignment horizontal="left" vertical="center" indent="1"/>
    </xf>
    <xf numFmtId="0" fontId="0" fillId="124" borderId="264" pivotButton="0" quotePrefix="0" xfId="0"/>
    <xf numFmtId="0" fontId="226" fillId="53" borderId="265" applyAlignment="1" pivotButton="0" quotePrefix="0" xfId="0">
      <alignment horizontal="center" vertical="center" wrapText="1"/>
    </xf>
    <xf numFmtId="0" fontId="0" fillId="53" borderId="266" pivotButton="0" quotePrefix="0" xfId="0"/>
    <xf numFmtId="0" fontId="170" fillId="29" borderId="267" applyAlignment="1" pivotButton="0" quotePrefix="0" xfId="0">
      <alignment horizontal="center" vertical="center" wrapText="1"/>
    </xf>
    <xf numFmtId="0" fontId="0" fillId="29" borderId="269" pivotButton="0" quotePrefix="0" xfId="0"/>
    <xf numFmtId="0" fontId="0" fillId="29" borderId="271" pivotButton="0" quotePrefix="0" xfId="0"/>
    <xf numFmtId="0" fontId="0" fillId="29" borderId="273" pivotButton="0" quotePrefix="0" xfId="0"/>
    <xf numFmtId="0" fontId="0" fillId="29" borderId="0" pivotButton="0" quotePrefix="0" xfId="0"/>
    <xf numFmtId="0" fontId="0" fillId="29" borderId="274" pivotButton="0" quotePrefix="0" xfId="0"/>
    <xf numFmtId="0" fontId="0" fillId="29" borderId="268" pivotButton="0" quotePrefix="0" xfId="0"/>
    <xf numFmtId="0" fontId="0" fillId="29" borderId="270" pivotButton="0" quotePrefix="0" xfId="0"/>
    <xf numFmtId="0" fontId="0" fillId="29" borderId="272" pivotButton="0" quotePrefix="0" xfId="0"/>
    <xf numFmtId="0" fontId="227" fillId="104" borderId="0" applyAlignment="1" pivotButton="0" quotePrefix="0" xfId="0">
      <alignment horizontal="left" vertical="center"/>
    </xf>
    <xf numFmtId="0" fontId="44" fillId="28" borderId="0" applyAlignment="1" pivotButton="0" quotePrefix="0" xfId="0">
      <alignment horizontal="center" vertical="center" wrapText="1"/>
    </xf>
    <xf numFmtId="0" fontId="0" fillId="28" borderId="0" pivotButton="0" quotePrefix="0" xfId="0"/>
    <xf numFmtId="0" fontId="45" fillId="28" borderId="15" applyAlignment="1" pivotButton="0" quotePrefix="0" xfId="0">
      <alignment horizontal="center" vertical="center" wrapText="1"/>
    </xf>
    <xf numFmtId="0" fontId="3" fillId="28" borderId="15" applyAlignment="1" pivotButton="0" quotePrefix="0" xfId="0">
      <alignment horizontal="left" vertical="center"/>
    </xf>
    <xf numFmtId="0" fontId="0" fillId="28" borderId="15" pivotButton="0" quotePrefix="0" xfId="0"/>
    <xf numFmtId="0" fontId="238" fillId="130" borderId="2" applyAlignment="1" pivotButton="0" quotePrefix="0" xfId="0">
      <alignment horizontal="center" vertical="center" wrapText="1"/>
    </xf>
    <xf numFmtId="0" fontId="239" fillId="116" borderId="2" applyAlignment="1" pivotButton="0" quotePrefix="0" xfId="0">
      <alignment horizontal="center" vertical="center" wrapText="1"/>
    </xf>
    <xf numFmtId="0" fontId="240" fillId="130" borderId="2" applyAlignment="1" pivotButton="0" quotePrefix="0" xfId="0">
      <alignment horizontal="center" vertical="center" wrapText="1"/>
    </xf>
    <xf numFmtId="0" fontId="230" fillId="11" borderId="2" applyAlignment="1" pivotButton="0" quotePrefix="0" xfId="0">
      <alignment horizontal="left" vertical="center"/>
    </xf>
    <xf numFmtId="0" fontId="231" fillId="11" borderId="2" applyAlignment="1" pivotButton="0" quotePrefix="0" xfId="0">
      <alignment horizontal="center" vertical="center" wrapText="1"/>
    </xf>
    <xf numFmtId="0" fontId="231" fillId="50" borderId="2" applyAlignment="1" pivotButton="0" quotePrefix="0" xfId="0">
      <alignment horizontal="center" vertical="center" wrapText="1"/>
    </xf>
    <xf numFmtId="0" fontId="233" fillId="126" borderId="2" applyAlignment="1" pivotButton="0" quotePrefix="0" xfId="0">
      <alignment horizontal="center" vertical="center" wrapText="1"/>
    </xf>
    <xf numFmtId="0" fontId="234" fillId="128" borderId="2" applyAlignment="1" pivotButton="0" quotePrefix="0" xfId="0">
      <alignment horizontal="center" vertical="center" wrapText="1"/>
    </xf>
    <xf numFmtId="0" fontId="230" fillId="125" borderId="2" applyAlignment="1" pivotButton="0" quotePrefix="0" xfId="0">
      <alignment horizontal="left" vertical="center"/>
    </xf>
    <xf numFmtId="0" fontId="231" fillId="125" borderId="2" applyAlignment="1" pivotButton="0" quotePrefix="0" xfId="0">
      <alignment horizontal="center" vertical="center" wrapText="1"/>
    </xf>
    <xf numFmtId="0" fontId="205" fillId="127" borderId="2" applyAlignment="1" pivotButton="0" quotePrefix="0" xfId="0">
      <alignment horizontal="left" vertical="center"/>
    </xf>
    <xf numFmtId="0" fontId="235" fillId="129" borderId="2" applyAlignment="1" pivotButton="0" quotePrefix="0" xfId="0">
      <alignment horizontal="left" vertical="center"/>
    </xf>
    <xf numFmtId="0" fontId="241" fillId="131" borderId="2" applyAlignment="1" pivotButton="0" quotePrefix="0" xfId="0">
      <alignment horizontal="center" vertical="center" wrapText="1"/>
    </xf>
    <xf numFmtId="0" fontId="232" fillId="11" borderId="2" applyAlignment="1" pivotButton="0" quotePrefix="0" xfId="0">
      <alignment horizontal="center" vertical="center" wrapText="1"/>
    </xf>
    <xf numFmtId="0" fontId="232" fillId="125" borderId="2" applyAlignment="1" pivotButton="0" quotePrefix="0" xfId="0">
      <alignment horizontal="center" vertical="center" wrapText="1"/>
    </xf>
    <xf numFmtId="0" fontId="236" fillId="0" borderId="0" applyAlignment="1" pivotButton="0" quotePrefix="0" xfId="0">
      <alignment horizontal="center"/>
    </xf>
    <xf numFmtId="0" fontId="237" fillId="0" borderId="0" applyAlignment="1" pivotButton="0" quotePrefix="0" xfId="0">
      <alignment horizontal="left" vertical="center"/>
    </xf>
    <xf numFmtId="0" fontId="119" fillId="79" borderId="0" applyAlignment="1" pivotButton="0" quotePrefix="0" xfId="0">
      <alignment horizontal="center" vertical="center" wrapText="1"/>
    </xf>
    <xf numFmtId="0" fontId="0" fillId="79" borderId="0" pivotButton="0" quotePrefix="0" xfId="0"/>
    <xf numFmtId="0" fontId="120" fillId="79" borderId="49" applyAlignment="1" pivotButton="0" quotePrefix="0" xfId="0">
      <alignment horizontal="center" vertical="center" wrapText="1"/>
    </xf>
    <xf numFmtId="0" fontId="3" fillId="79" borderId="49" applyAlignment="1" pivotButton="0" quotePrefix="0" xfId="0">
      <alignment horizontal="left" vertical="center"/>
    </xf>
    <xf numFmtId="0" fontId="0" fillId="79" borderId="49" pivotButton="0" quotePrefix="0" xfId="0"/>
    <xf numFmtId="0" fontId="242" fillId="115" borderId="0" applyAlignment="1" pivotButton="0" quotePrefix="0" xfId="0">
      <alignment horizontal="center" vertical="center" wrapText="1"/>
    </xf>
    <xf numFmtId="0" fontId="0" fillId="115" borderId="0" pivotButton="0" quotePrefix="0" xfId="0"/>
    <xf numFmtId="0" fontId="243" fillId="119" borderId="0" applyAlignment="1" pivotButton="0" quotePrefix="0" xfId="0">
      <alignment horizontal="center" vertical="center" wrapText="1"/>
    </xf>
    <xf numFmtId="0" fontId="0" fillId="119" borderId="0" pivotButton="0" quotePrefix="0" xfId="0"/>
    <xf numFmtId="0" fontId="244" fillId="132" borderId="0" applyAlignment="1" pivotButton="0" quotePrefix="0" xfId="0">
      <alignment horizontal="center" vertical="center" wrapText="1"/>
    </xf>
    <xf numFmtId="0" fontId="0" fillId="132" borderId="0" pivotButton="0" quotePrefix="0" xfId="0"/>
    <xf numFmtId="0" fontId="245" fillId="133" borderId="0" applyAlignment="1" pivotButton="0" quotePrefix="0" xfId="0">
      <alignment horizontal="center" vertical="center" wrapText="1"/>
    </xf>
    <xf numFmtId="0" fontId="0" fillId="133" borderId="0" pivotButton="0" quotePrefix="0" xfId="0"/>
    <xf numFmtId="0" fontId="246" fillId="134" borderId="0" applyAlignment="1" pivotButton="0" quotePrefix="0" xfId="0">
      <alignment horizontal="center" vertical="center" wrapText="1"/>
    </xf>
    <xf numFmtId="0" fontId="0" fillId="134" borderId="0" pivotButton="0" quotePrefix="0" xfId="0"/>
    <xf numFmtId="1" fontId="121" fillId="11" borderId="0" applyAlignment="1" pivotButton="0" quotePrefix="0" xfId="0">
      <alignment horizontal="center" vertical="center" wrapText="1"/>
    </xf>
    <xf numFmtId="0" fontId="0" fillId="11" borderId="0" pivotButton="0" quotePrefix="0" xfId="0"/>
    <xf numFmtId="166" fontId="122" fillId="11" borderId="0" applyAlignment="1" pivotButton="0" quotePrefix="0" xfId="0">
      <alignment horizontal="center" vertical="center" wrapText="1"/>
    </xf>
    <xf numFmtId="9" fontId="123" fillId="11" borderId="0" applyAlignment="1" pivotButton="0" quotePrefix="0" xfId="0">
      <alignment horizontal="center" vertical="center" wrapText="1"/>
    </xf>
    <xf numFmtId="1" fontId="124" fillId="11" borderId="0" applyAlignment="1" pivotButton="0" quotePrefix="0" xfId="0">
      <alignment horizontal="center" vertical="center" wrapText="1"/>
    </xf>
    <xf numFmtId="3" fontId="125" fillId="11" borderId="0" applyAlignment="1" pivotButton="0" quotePrefix="0" xfId="0">
      <alignment horizontal="center" vertical="center" wrapText="1"/>
    </xf>
    <xf numFmtId="0" fontId="126" fillId="0" borderId="0" applyAlignment="1" pivotButton="0" quotePrefix="0" xfId="0">
      <alignment horizontal="left" vertical="center"/>
    </xf>
    <xf numFmtId="0" fontId="206" fillId="117" borderId="2" applyAlignment="1" pivotButton="0" quotePrefix="0" xfId="0">
      <alignment horizontal="center" vertical="center" wrapText="1"/>
    </xf>
    <xf numFmtId="0" fontId="30" fillId="3" borderId="2" applyAlignment="1" pivotButton="0" quotePrefix="0" xfId="0">
      <alignment horizontal="center" vertical="center" wrapText="1"/>
    </xf>
    <xf numFmtId="9" fontId="10" fillId="0" borderId="2" applyAlignment="1" pivotButton="0" quotePrefix="0" xfId="0">
      <alignment horizontal="center" vertical="center" wrapText="1"/>
    </xf>
    <xf numFmtId="3" fontId="10" fillId="0" borderId="2" applyAlignment="1" pivotButton="0" quotePrefix="0" xfId="0">
      <alignment horizontal="center" vertical="center" wrapText="1"/>
    </xf>
    <xf numFmtId="0" fontId="30" fillId="0" borderId="0" applyAlignment="1" pivotButton="0" quotePrefix="0" xfId="0">
      <alignment horizontal="left" vertical="center"/>
    </xf>
    <xf numFmtId="0" fontId="127" fillId="0" borderId="0" applyAlignment="1" pivotButton="0" quotePrefix="0" xfId="0">
      <alignment horizontal="left" vertical="center"/>
    </xf>
    <xf numFmtId="0" fontId="110" fillId="0" borderId="0" pivotButton="0" quotePrefix="0" xfId="0"/>
    <xf numFmtId="0" fontId="224" fillId="124" borderId="2" applyAlignment="1" pivotButton="0" quotePrefix="0" xfId="0">
      <alignment horizontal="center" vertical="center" wrapText="1"/>
    </xf>
    <xf numFmtId="0" fontId="7" fillId="36" borderId="2" applyAlignment="1" pivotButton="0" quotePrefix="0" xfId="0">
      <alignment horizontal="center" vertical="center" wrapText="1"/>
    </xf>
    <xf numFmtId="0" fontId="7" fillId="16" borderId="2" applyAlignment="1" pivotButton="0" quotePrefix="0" xfId="0">
      <alignment horizontal="center" vertical="center" wrapText="1"/>
    </xf>
    <xf numFmtId="0" fontId="7" fillId="15" borderId="2" applyAlignment="1" pivotButton="0" quotePrefix="0" xfId="0">
      <alignment horizontal="center" vertical="center" wrapText="1"/>
    </xf>
    <xf numFmtId="0" fontId="7" fillId="37" borderId="2" applyAlignment="1" pivotButton="0" quotePrefix="0" xfId="0">
      <alignment horizontal="center" vertical="center" wrapText="1"/>
    </xf>
    <xf numFmtId="0" fontId="247" fillId="131" borderId="2" applyAlignment="1" pivotButton="0" quotePrefix="0" xfId="0">
      <alignment horizontal="center" vertical="center" wrapText="1"/>
    </xf>
    <xf numFmtId="0" fontId="7" fillId="29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248" fillId="133" borderId="2" applyAlignment="1" pivotButton="0" quotePrefix="0" xfId="0">
      <alignment horizontal="center" vertical="center" wrapText="1"/>
    </xf>
    <xf numFmtId="0" fontId="188" fillId="103" borderId="0" applyAlignment="1" pivotButton="0" quotePrefix="0" xfId="0">
      <alignment horizontal="center" vertical="center" wrapText="1"/>
    </xf>
    <xf numFmtId="0" fontId="0" fillId="103" borderId="0" pivotButton="0" quotePrefix="0" xfId="0"/>
    <xf numFmtId="0" fontId="152" fillId="103" borderId="190" applyAlignment="1" pivotButton="0" quotePrefix="0" xfId="0">
      <alignment horizontal="center" vertical="center" wrapText="1"/>
    </xf>
    <xf numFmtId="0" fontId="3" fillId="103" borderId="190" applyAlignment="1" pivotButton="0" quotePrefix="0" xfId="0">
      <alignment horizontal="left" vertical="center"/>
    </xf>
    <xf numFmtId="0" fontId="0" fillId="103" borderId="190" pivotButton="0" quotePrefix="0" xfId="0"/>
    <xf numFmtId="0" fontId="249" fillId="135" borderId="0" applyAlignment="1" pivotButton="0" quotePrefix="0" xfId="0">
      <alignment horizontal="left" vertical="center"/>
    </xf>
    <xf numFmtId="0" fontId="190" fillId="0" borderId="0" applyAlignment="1" pivotButton="0" quotePrefix="0" xfId="0">
      <alignment horizontal="left" vertical="center"/>
    </xf>
    <xf numFmtId="0" fontId="240" fillId="130" borderId="0" applyAlignment="1" pivotButton="0" quotePrefix="0" xfId="0">
      <alignment horizontal="left" vertical="center"/>
    </xf>
    <xf numFmtId="0" fontId="250" fillId="115" borderId="0" applyAlignment="1" pivotButton="0" quotePrefix="0" xfId="0">
      <alignment horizontal="left" vertical="center"/>
    </xf>
    <xf numFmtId="0" fontId="249" fillId="119" borderId="0" applyAlignment="1" pivotButton="0" quotePrefix="0" xfId="0">
      <alignment horizontal="left" vertical="center"/>
    </xf>
    <xf numFmtId="0" fontId="251" fillId="134" borderId="0" applyAlignment="1" pivotButton="0" quotePrefix="0" xfId="0">
      <alignment horizontal="left" vertical="center"/>
    </xf>
    <xf numFmtId="0" fontId="252" fillId="136" borderId="0" applyAlignment="1" pivotButton="0" quotePrefix="0" xfId="0">
      <alignment horizontal="left" vertical="center"/>
    </xf>
    <xf numFmtId="0" fontId="253" fillId="137" borderId="0" applyAlignment="1" pivotButton="0" quotePrefix="0" xfId="0">
      <alignment horizontal="left" vertical="center"/>
    </xf>
    <xf numFmtId="0" fontId="254" fillId="138" borderId="0" applyAlignment="1" pivotButton="0" quotePrefix="0" xfId="0">
      <alignment horizontal="left" vertical="center"/>
    </xf>
    <xf numFmtId="0" fontId="254" fillId="139" borderId="0" applyAlignment="1" pivotButton="0" quotePrefix="0" xfId="0">
      <alignment horizontal="left" vertical="center"/>
    </xf>
    <xf numFmtId="0" fontId="255" fillId="117" borderId="0" applyAlignment="1" pivotButton="0" quotePrefix="0" xfId="0">
      <alignment horizontal="left" vertical="center"/>
    </xf>
    <xf numFmtId="0" fontId="256" fillId="118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4" borderId="2" applyAlignment="1" applyProtection="1" pivotButton="0" quotePrefix="0" xfId="0">
      <alignment horizontal="left" vertical="center"/>
      <protection locked="0" hidden="0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0" fontId="6" fillId="4" borderId="2" applyAlignment="1" applyProtection="1" pivotButton="0" quotePrefix="0" xfId="0">
      <alignment horizontal="center" vertical="center" wrapText="1"/>
      <protection locked="0" hidden="0"/>
    </xf>
    <xf numFmtId="0" fontId="8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7" fillId="6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left" vertical="center"/>
      <protection locked="0" hidden="0"/>
    </xf>
    <xf numFmtId="0" fontId="10" fillId="4" borderId="2" applyAlignment="1" applyProtection="1" pivotButton="0" quotePrefix="0" xfId="0">
      <alignment horizontal="center" vertical="center" wrapText="1"/>
      <protection locked="0" hidden="0"/>
    </xf>
    <xf numFmtId="0" fontId="11" fillId="0" borderId="2" applyAlignment="1" pivotButton="0" quotePrefix="0" xfId="0">
      <alignment horizontal="center" vertical="center" wrapText="1"/>
    </xf>
    <xf numFmtId="0" fontId="12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13" fillId="7" borderId="3" applyAlignment="1" pivotButton="0" quotePrefix="0" xfId="0">
      <alignment horizontal="center" vertical="center" wrapText="1"/>
    </xf>
    <xf numFmtId="0" fontId="3" fillId="7" borderId="3" applyAlignment="1" pivotButton="0" quotePrefix="0" xfId="0">
      <alignment horizontal="left" vertical="center"/>
    </xf>
    <xf numFmtId="0" fontId="0" fillId="7" borderId="3" pivotButton="0" quotePrefix="0" xfId="0"/>
    <xf numFmtId="0" fontId="14" fillId="0" borderId="0" applyAlignment="1" pivotButton="0" quotePrefix="0" xfId="0">
      <alignment horizontal="left" vertical="center"/>
    </xf>
    <xf numFmtId="0" fontId="242" fillId="115" borderId="2" applyAlignment="1" pivotButton="0" quotePrefix="0" xfId="0">
      <alignment horizontal="center" vertical="center" wrapText="1"/>
    </xf>
    <xf numFmtId="0" fontId="16" fillId="9" borderId="2" applyAlignment="1" pivotButton="0" quotePrefix="0" xfId="0">
      <alignment horizontal="center" vertical="center" wrapText="1"/>
    </xf>
    <xf numFmtId="49" fontId="17" fillId="9" borderId="2" applyAlignment="1" pivotButton="0" quotePrefix="0" xfId="0">
      <alignment horizontal="center" vertical="center" wrapText="1"/>
    </xf>
    <xf numFmtId="0" fontId="17" fillId="9" borderId="2" applyAlignment="1" pivotButton="0" quotePrefix="0" xfId="0">
      <alignment horizontal="center" vertical="center" wrapText="1"/>
    </xf>
    <xf numFmtId="0" fontId="17" fillId="9" borderId="2" applyAlignment="1" pivotButton="0" quotePrefix="0" xfId="0">
      <alignment horizontal="left" vertical="center"/>
    </xf>
    <xf numFmtId="0" fontId="10" fillId="3" borderId="2" applyAlignment="1" pivotButton="0" quotePrefix="0" xfId="0">
      <alignment horizontal="center" vertical="center" wrapText="1"/>
    </xf>
    <xf numFmtId="49" fontId="10" fillId="4" borderId="2" applyAlignment="1" applyProtection="1" pivotButton="0" quotePrefix="0" xfId="0">
      <alignment horizontal="center" vertical="center" wrapText="1"/>
      <protection locked="0" hidden="0"/>
    </xf>
    <xf numFmtId="0" fontId="33" fillId="59" borderId="0" applyAlignment="1" pivotButton="0" quotePrefix="0" xfId="0">
      <alignment horizontal="center" vertical="center" wrapText="1"/>
    </xf>
    <xf numFmtId="0" fontId="0" fillId="59" borderId="0" pivotButton="0" quotePrefix="0" xfId="0"/>
    <xf numFmtId="0" fontId="34" fillId="59" borderId="34" applyAlignment="1" pivotButton="0" quotePrefix="0" xfId="0">
      <alignment horizontal="center" vertical="center" wrapText="1"/>
    </xf>
    <xf numFmtId="0" fontId="3" fillId="59" borderId="34" applyAlignment="1" pivotButton="0" quotePrefix="0" xfId="0">
      <alignment horizontal="left" vertical="center"/>
    </xf>
    <xf numFmtId="0" fontId="0" fillId="59" borderId="34" pivotButton="0" quotePrefix="0" xfId="0"/>
    <xf numFmtId="0" fontId="35" fillId="0" borderId="0" applyAlignment="1" pivotButton="0" quotePrefix="0" xfId="0">
      <alignment horizontal="left" vertical="center"/>
    </xf>
    <xf numFmtId="0" fontId="21" fillId="20" borderId="2" applyAlignment="1" pivotButton="0" quotePrefix="0" xfId="0">
      <alignment horizontal="center" vertical="center" wrapText="1"/>
    </xf>
    <xf numFmtId="0" fontId="215" fillId="140" borderId="2" applyAlignment="1" pivotButton="0" quotePrefix="0" xfId="0">
      <alignment horizontal="center" vertical="center" wrapText="1"/>
    </xf>
    <xf numFmtId="0" fontId="257" fillId="141" borderId="2" applyAlignment="1" pivotButton="0" quotePrefix="0" xfId="0">
      <alignment horizontal="center" vertical="center" wrapText="1"/>
    </xf>
    <xf numFmtId="0" fontId="212" fillId="135" borderId="2" applyAlignment="1" pivotButton="0" quotePrefix="0" xfId="0">
      <alignment horizontal="center" vertical="center" wrapText="1"/>
    </xf>
    <xf numFmtId="0" fontId="8" fillId="11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left" vertical="center"/>
    </xf>
    <xf numFmtId="0" fontId="57" fillId="20" borderId="2" applyAlignment="1" pivotButton="0" quotePrefix="0" xfId="0">
      <alignment horizontal="center" vertical="center" wrapText="1"/>
    </xf>
    <xf numFmtId="0" fontId="57" fillId="4" borderId="2" applyAlignment="1" applyProtection="1" pivotButton="0" quotePrefix="0" xfId="0">
      <alignment horizontal="center" vertical="center" wrapText="1"/>
      <protection locked="0" hidden="0"/>
    </xf>
    <xf numFmtId="0" fontId="57" fillId="20" borderId="2" applyAlignment="1" pivotButton="0" quotePrefix="0" xfId="0">
      <alignment horizontal="left" vertical="center"/>
    </xf>
    <xf numFmtId="0" fontId="57" fillId="4" borderId="2" applyAlignment="1" applyProtection="1" pivotButton="0" quotePrefix="0" xfId="0">
      <alignment horizontal="left" vertical="center"/>
      <protection locked="0" hidden="0"/>
    </xf>
    <xf numFmtId="49" fontId="57" fillId="4" borderId="2" applyAlignment="1" applyProtection="1" pivotButton="0" quotePrefix="0" xfId="0">
      <alignment horizontal="left" vertical="center"/>
      <protection locked="0" hidden="0"/>
    </xf>
    <xf numFmtId="0" fontId="57" fillId="62" borderId="2" applyAlignment="1" applyProtection="1" pivotButton="0" quotePrefix="0" xfId="0">
      <alignment horizontal="left" vertical="center"/>
      <protection locked="0" hidden="0"/>
    </xf>
    <xf numFmtId="0" fontId="8" fillId="12" borderId="2" applyAlignment="1" pivotButton="0" quotePrefix="0" xfId="0">
      <alignment horizontal="center" vertical="center" wrapText="1"/>
    </xf>
    <xf numFmtId="0" fontId="10" fillId="12" borderId="2" applyAlignment="1" pivotButton="0" quotePrefix="0" xfId="0">
      <alignment horizontal="left" vertical="center"/>
    </xf>
    <xf numFmtId="0" fontId="258" fillId="140" borderId="2" applyAlignment="1" pivotButton="0" quotePrefix="0" xfId="0">
      <alignment horizontal="center" vertical="center" wrapText="1"/>
    </xf>
    <xf numFmtId="0" fontId="243" fillId="135" borderId="2" applyAlignment="1" pivotButton="0" quotePrefix="0" xfId="0">
      <alignment horizontal="center" vertical="center" wrapText="1"/>
    </xf>
    <xf numFmtId="0" fontId="57" fillId="0" borderId="2" applyAlignment="1" pivotButton="0" quotePrefix="0" xfId="0">
      <alignment horizontal="left" vertical="center"/>
    </xf>
    <xf numFmtId="49" fontId="57" fillId="4" borderId="2" applyAlignment="1" applyProtection="1" pivotButton="0" quotePrefix="0" xfId="0">
      <alignment horizontal="center" vertical="center" wrapText="1"/>
      <protection locked="0" hidden="0"/>
    </xf>
    <xf numFmtId="0" fontId="22" fillId="0" borderId="2" applyAlignment="1" pivotButton="0" quotePrefix="0" xfId="0">
      <alignment horizontal="center" vertical="center" wrapText="1"/>
    </xf>
    <xf numFmtId="0" fontId="27" fillId="0" borderId="2" applyAlignment="1" pivotButton="0" quotePrefix="0" xfId="0">
      <alignment horizontal="left" vertical="center"/>
    </xf>
    <xf numFmtId="0" fontId="216" fillId="140" borderId="0" applyAlignment="1" pivotButton="0" quotePrefix="0" xfId="0">
      <alignment horizontal="center" vertical="center" wrapText="1"/>
    </xf>
    <xf numFmtId="0" fontId="216" fillId="140" borderId="0" applyAlignment="1" pivotButton="0" quotePrefix="0" xfId="0">
      <alignment horizontal="left" vertical="center"/>
    </xf>
    <xf numFmtId="0" fontId="0" fillId="140" borderId="0" pivotButton="0" quotePrefix="0" xfId="0"/>
    <xf numFmtId="0" fontId="86" fillId="0" borderId="0" applyAlignment="1" pivotButton="0" quotePrefix="0" xfId="0">
      <alignment horizontal="left" vertical="center"/>
    </xf>
    <xf numFmtId="0" fontId="259" fillId="140" borderId="0" applyAlignment="1" pivotButton="0" quotePrefix="0" xfId="0">
      <alignment horizontal="left" vertical="center"/>
    </xf>
    <xf numFmtId="0" fontId="217" fillId="140" borderId="2" applyAlignment="1" pivotButton="0" quotePrefix="0" xfId="0">
      <alignment horizontal="center" vertical="center" wrapText="1"/>
    </xf>
    <xf numFmtId="0" fontId="86" fillId="4" borderId="2" applyAlignment="1" applyProtection="1" pivotButton="0" quotePrefix="0" xfId="0">
      <alignment horizontal="center" vertical="center" wrapText="1"/>
      <protection locked="0" hidden="0"/>
    </xf>
    <xf numFmtId="0" fontId="11" fillId="0" borderId="0" applyAlignment="1" pivotButton="0" quotePrefix="0" xfId="0">
      <alignment horizontal="left" vertical="center"/>
    </xf>
    <xf numFmtId="0" fontId="10" fillId="0" borderId="2" applyAlignment="1" pivotButton="0" quotePrefix="0" xfId="0">
      <alignment horizontal="left" vertical="center"/>
    </xf>
    <xf numFmtId="0" fontId="27" fillId="0" borderId="2" applyAlignment="1" pivotButton="0" quotePrefix="0" xfId="0">
      <alignment horizontal="center" vertical="center" wrapText="1"/>
    </xf>
    <xf numFmtId="0" fontId="10" fillId="0" borderId="2" applyAlignment="1" applyProtection="1" pivotButton="0" quotePrefix="0" xfId="0">
      <alignment horizontal="center" vertical="center" wrapText="1"/>
      <protection locked="0" hidden="0"/>
    </xf>
    <xf numFmtId="0" fontId="55" fillId="0" borderId="2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 wrapText="1"/>
    </xf>
    <xf numFmtId="0" fontId="0" fillId="10" borderId="0" pivotButton="0" quotePrefix="0" xfId="0"/>
    <xf numFmtId="0" fontId="19" fillId="10" borderId="4" applyAlignment="1" pivotButton="0" quotePrefix="0" xfId="0">
      <alignment horizontal="center" vertical="center" wrapText="1"/>
    </xf>
    <xf numFmtId="0" fontId="3" fillId="10" borderId="4" applyAlignment="1" pivotButton="0" quotePrefix="0" xfId="0">
      <alignment horizontal="left" vertical="center"/>
    </xf>
    <xf numFmtId="0" fontId="0" fillId="10" borderId="4" pivotButton="0" quotePrefix="0" xfId="0"/>
    <xf numFmtId="0" fontId="20" fillId="0" borderId="0" applyAlignment="1" pivotButton="0" quotePrefix="0" xfId="0">
      <alignment horizontal="left" vertical="center"/>
    </xf>
    <xf numFmtId="0" fontId="21" fillId="10" borderId="2" applyAlignment="1" pivotButton="0" quotePrefix="0" xfId="0">
      <alignment horizontal="center" vertical="center" wrapText="1"/>
    </xf>
    <xf numFmtId="0" fontId="22" fillId="10" borderId="2" applyAlignment="1" pivotButton="0" quotePrefix="0" xfId="0">
      <alignment horizontal="center" vertical="center" wrapText="1"/>
    </xf>
    <xf numFmtId="0" fontId="260" fillId="119" borderId="5" applyAlignment="1" pivotButton="0" quotePrefix="0" xfId="0">
      <alignment horizontal="center" vertical="center" wrapText="1"/>
    </xf>
    <xf numFmtId="0" fontId="261" fillId="142" borderId="5" applyAlignment="1" pivotButton="0" quotePrefix="0" xfId="0">
      <alignment horizontal="center" vertical="center" wrapText="1"/>
    </xf>
    <xf numFmtId="0" fontId="22" fillId="10" borderId="5" applyAlignment="1" pivotButton="0" quotePrefix="0" xfId="0">
      <alignment horizontal="center" vertical="center" wrapText="1"/>
    </xf>
    <xf numFmtId="0" fontId="27" fillId="15" borderId="5" applyAlignment="1" pivotButton="0" quotePrefix="0" xfId="0">
      <alignment horizontal="center" vertical="center" wrapText="1"/>
    </xf>
    <xf numFmtId="0" fontId="27" fillId="16" borderId="2" applyAlignment="1" pivotButton="0" quotePrefix="0" xfId="0">
      <alignment horizontal="center" vertical="center" wrapText="1"/>
    </xf>
    <xf numFmtId="0" fontId="27" fillId="6" borderId="2" applyAlignment="1" pivotButton="0" quotePrefix="0" xfId="0">
      <alignment horizontal="center" vertical="center" wrapText="1"/>
    </xf>
    <xf numFmtId="0" fontId="24" fillId="10" borderId="5" applyAlignment="1" pivotButton="0" quotePrefix="0" xfId="0">
      <alignment horizontal="center" vertical="center" wrapText="1"/>
    </xf>
    <xf numFmtId="0" fontId="24" fillId="1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5" fillId="11" borderId="5" applyAlignment="1" pivotButton="0" quotePrefix="0" xfId="0">
      <alignment horizontal="center" vertical="center" textRotation="90" wrapText="1"/>
    </xf>
    <xf numFmtId="0" fontId="25" fillId="11" borderId="2" applyAlignment="1" pivotButton="0" quotePrefix="0" xfId="0">
      <alignment horizontal="center" vertical="center" textRotation="90" wrapText="1"/>
    </xf>
    <xf numFmtId="9" fontId="20" fillId="10" borderId="2" applyAlignment="1" pivotButton="0" quotePrefix="0" xfId="0">
      <alignment horizontal="center" vertical="center" wrapText="1"/>
    </xf>
    <xf numFmtId="0" fontId="10" fillId="0" borderId="5" applyAlignment="1" applyProtection="1" pivotButton="0" quotePrefix="0" xfId="0">
      <alignment horizontal="center" vertical="center" wrapText="1"/>
      <protection locked="0" hidden="0"/>
    </xf>
    <xf numFmtId="1" fontId="20" fillId="15" borderId="5" applyAlignment="1" pivotButton="0" quotePrefix="0" xfId="0">
      <alignment horizontal="center" vertical="center" wrapText="1"/>
    </xf>
    <xf numFmtId="1" fontId="20" fillId="16" borderId="2" applyAlignment="1" pivotButton="0" quotePrefix="0" xfId="0">
      <alignment horizontal="center" vertical="center" wrapText="1"/>
    </xf>
    <xf numFmtId="1" fontId="20" fillId="6" borderId="2" applyAlignment="1" pivotButton="0" quotePrefix="0" xfId="0">
      <alignment horizontal="center" vertical="center" wrapText="1"/>
    </xf>
    <xf numFmtId="0" fontId="27" fillId="10" borderId="2" applyAlignment="1" pivotButton="0" quotePrefix="0" xfId="0">
      <alignment horizontal="right" vertical="center"/>
    </xf>
    <xf numFmtId="0" fontId="28" fillId="10" borderId="5" applyAlignment="1" pivotButton="0" quotePrefix="0" xfId="0">
      <alignment horizontal="center" vertical="center" wrapText="1"/>
    </xf>
    <xf numFmtId="0" fontId="28" fillId="10" borderId="2" applyAlignment="1" pivotButton="0" quotePrefix="0" xfId="0">
      <alignment horizontal="center" vertical="center" wrapText="1"/>
    </xf>
    <xf numFmtId="1" fontId="27" fillId="15" borderId="5" applyAlignment="1" pivotButton="0" quotePrefix="0" xfId="0">
      <alignment horizontal="center" vertical="center" wrapText="1"/>
    </xf>
    <xf numFmtId="1" fontId="27" fillId="16" borderId="2" applyAlignment="1" pivotButton="0" quotePrefix="0" xfId="0">
      <alignment horizontal="center" vertical="center" wrapText="1"/>
    </xf>
    <xf numFmtId="1" fontId="27" fillId="6" borderId="2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left" vertical="center"/>
    </xf>
    <xf numFmtId="0" fontId="7" fillId="10" borderId="2" applyAlignment="1" pivotButton="0" quotePrefix="0" xfId="0">
      <alignment horizontal="center" vertical="center" wrapText="1"/>
    </xf>
    <xf numFmtId="0" fontId="260" fillId="119" borderId="2" applyAlignment="1" pivotButton="0" quotePrefix="0" xfId="0">
      <alignment horizontal="center" vertical="center" wrapText="1"/>
    </xf>
    <xf numFmtId="0" fontId="262" fillId="137" borderId="2" applyAlignment="1" pivotButton="0" quotePrefix="0" xfId="0">
      <alignment horizontal="center" vertical="center" wrapText="1"/>
    </xf>
    <xf numFmtId="0" fontId="263" fillId="143" borderId="2" applyAlignment="1" pivotButton="0" quotePrefix="0" xfId="0">
      <alignment horizontal="center" vertical="center" wrapText="1"/>
    </xf>
    <xf numFmtId="0" fontId="20" fillId="10" borderId="2" applyAlignment="1" pivotButton="0" quotePrefix="0" xfId="0">
      <alignment horizontal="center" vertical="center" wrapText="1"/>
    </xf>
    <xf numFmtId="0" fontId="264" fillId="142" borderId="2" applyAlignment="1" pivotButton="0" quotePrefix="0" xfId="0">
      <alignment horizontal="center" vertical="center" wrapText="1"/>
    </xf>
    <xf numFmtId="0" fontId="54" fillId="33" borderId="2" applyAlignment="1" pivotButton="0" quotePrefix="0" xfId="0">
      <alignment horizontal="center" vertical="center" wrapText="1"/>
    </xf>
    <xf numFmtId="0" fontId="265" fillId="143" borderId="2" applyAlignment="1" pivotButton="0" quotePrefix="0" xfId="0">
      <alignment horizontal="center" vertical="center" wrapText="1"/>
    </xf>
    <xf numFmtId="0" fontId="48" fillId="10" borderId="2" applyAlignment="1" pivotButton="0" quotePrefix="0" xfId="0">
      <alignment horizontal="center" vertical="center" wrapText="1"/>
    </xf>
    <xf numFmtId="0" fontId="10" fillId="10" borderId="2" applyAlignment="1" pivotButton="0" quotePrefix="0" xfId="0">
      <alignment horizontal="center" vertical="center" wrapText="1"/>
    </xf>
    <xf numFmtId="166" fontId="20" fillId="6" borderId="2" applyAlignment="1" pivotButton="0" quotePrefix="0" xfId="0">
      <alignment horizontal="center" vertical="center" wrapText="1"/>
    </xf>
    <xf numFmtId="166" fontId="54" fillId="53" borderId="2" applyAlignment="1" pivotButton="0" quotePrefix="0" xfId="0">
      <alignment horizontal="center" vertical="center" wrapText="1"/>
    </xf>
    <xf numFmtId="0" fontId="20" fillId="10" borderId="2" applyAlignment="1" pivotButton="0" quotePrefix="0" xfId="0">
      <alignment horizontal="right"/>
    </xf>
    <xf numFmtId="1" fontId="20" fillId="36" borderId="2" applyAlignment="1" pivotButton="0" quotePrefix="0" xfId="0">
      <alignment horizontal="center" vertical="center" wrapText="1"/>
    </xf>
    <xf numFmtId="166" fontId="20" fillId="36" borderId="2" applyAlignment="1" pivotButton="0" quotePrefix="0" xfId="0">
      <alignment horizontal="center" vertical="center" wrapText="1"/>
    </xf>
    <xf numFmtId="0" fontId="54" fillId="53" borderId="2" applyAlignment="1" pivotButton="0" quotePrefix="0" xfId="0">
      <alignment horizontal="center" vertical="center" wrapText="1"/>
    </xf>
    <xf numFmtId="166" fontId="54" fillId="54" borderId="2" applyAlignment="1" pivotButton="0" quotePrefix="0" xfId="0">
      <alignment horizontal="center" vertical="center" wrapText="1"/>
    </xf>
    <xf numFmtId="0" fontId="77" fillId="0" borderId="0" applyAlignment="1" pivotButton="0" quotePrefix="0" xfId="0">
      <alignment horizontal="left" vertical="center"/>
    </xf>
    <xf numFmtId="0" fontId="81" fillId="56" borderId="0" applyAlignment="1" pivotButton="0" quotePrefix="0" xfId="0">
      <alignment horizontal="center" vertical="center" wrapText="1"/>
    </xf>
    <xf numFmtId="0" fontId="0" fillId="56" borderId="0" pivotButton="0" quotePrefix="0" xfId="0"/>
    <xf numFmtId="0" fontId="82" fillId="56" borderId="33" applyAlignment="1" pivotButton="0" quotePrefix="0" xfId="0">
      <alignment horizontal="center" vertical="center" wrapText="1"/>
    </xf>
    <xf numFmtId="0" fontId="3" fillId="56" borderId="33" applyAlignment="1" pivotButton="0" quotePrefix="0" xfId="0">
      <alignment horizontal="left" vertical="center"/>
    </xf>
    <xf numFmtId="0" fontId="0" fillId="56" borderId="33" pivotButton="0" quotePrefix="0" xfId="0"/>
    <xf numFmtId="0" fontId="83" fillId="0" borderId="0" applyAlignment="1" pivotButton="0" quotePrefix="0" xfId="0">
      <alignment horizontal="left" vertical="center"/>
    </xf>
    <xf numFmtId="0" fontId="21" fillId="29" borderId="2" applyAlignment="1" pivotButton="0" quotePrefix="0" xfId="0">
      <alignment horizontal="center" vertical="center" wrapText="1"/>
    </xf>
    <xf numFmtId="0" fontId="22" fillId="29" borderId="2" applyAlignment="1" pivotButton="0" quotePrefix="0" xfId="0">
      <alignment horizontal="center" vertical="center" wrapText="1"/>
    </xf>
    <xf numFmtId="0" fontId="214" fillId="119" borderId="5" applyAlignment="1" pivotButton="0" quotePrefix="0" xfId="0">
      <alignment horizontal="center" vertical="center" wrapText="1"/>
    </xf>
    <xf numFmtId="0" fontId="266" fillId="134" borderId="13" applyAlignment="1" pivotButton="0" quotePrefix="0" xfId="0">
      <alignment horizontal="center" vertical="center" wrapText="1"/>
    </xf>
    <xf numFmtId="0" fontId="267" fillId="144" borderId="25" applyAlignment="1" pivotButton="0" quotePrefix="0" xfId="0">
      <alignment horizontal="center" vertical="center" wrapText="1"/>
    </xf>
    <xf numFmtId="0" fontId="205" fillId="116" borderId="7" applyAlignment="1" pivotButton="0" quotePrefix="0" xfId="0">
      <alignment horizontal="center" vertical="center" wrapText="1"/>
    </xf>
    <xf numFmtId="0" fontId="212" fillId="119" borderId="2" applyAlignment="1" pivotButton="0" quotePrefix="0" xfId="0">
      <alignment horizontal="center" vertical="center" wrapText="1"/>
    </xf>
    <xf numFmtId="0" fontId="268" fillId="134" borderId="2" applyAlignment="1" pivotButton="0" quotePrefix="0" xfId="0">
      <alignment horizontal="center" vertical="center" wrapText="1"/>
    </xf>
    <xf numFmtId="0" fontId="269" fillId="144" borderId="2" applyAlignment="1" pivotButton="0" quotePrefix="0" xfId="0">
      <alignment horizontal="center" vertical="center" wrapText="1"/>
    </xf>
    <xf numFmtId="0" fontId="203" fillId="116" borderId="2" applyAlignment="1" pivotButton="0" quotePrefix="0" xfId="0">
      <alignment horizontal="center" vertical="center" wrapText="1"/>
    </xf>
    <xf numFmtId="0" fontId="270" fillId="145" borderId="2" applyAlignment="1" pivotButton="0" quotePrefix="0" xfId="0">
      <alignment horizontal="center" vertical="center" wrapText="1"/>
    </xf>
    <xf numFmtId="0" fontId="84" fillId="29" borderId="2" applyAlignment="1" pivotButton="0" quotePrefix="0" xfId="0">
      <alignment horizontal="center" vertical="center" wrapText="1"/>
    </xf>
    <xf numFmtId="0" fontId="19" fillId="119" borderId="5" applyAlignment="1" pivotButton="0" quotePrefix="0" xfId="0">
      <alignment horizontal="center" vertical="center" wrapText="1"/>
    </xf>
    <xf numFmtId="0" fontId="19" fillId="119" borderId="2" applyAlignment="1" pivotButton="0" quotePrefix="0" xfId="0">
      <alignment horizontal="center" vertical="center" wrapText="1"/>
    </xf>
    <xf numFmtId="0" fontId="39" fillId="134" borderId="13" applyAlignment="1" pivotButton="0" quotePrefix="0" xfId="0">
      <alignment horizontal="center" vertical="center" wrapText="1"/>
    </xf>
    <xf numFmtId="0" fontId="39" fillId="134" borderId="2" applyAlignment="1" pivotButton="0" quotePrefix="0" xfId="0">
      <alignment horizontal="center" vertical="center" wrapText="1"/>
    </xf>
    <xf numFmtId="0" fontId="67" fillId="144" borderId="25" applyAlignment="1" pivotButton="0" quotePrefix="0" xfId="0">
      <alignment horizontal="center" vertical="center" wrapText="1"/>
    </xf>
    <xf numFmtId="0" fontId="67" fillId="144" borderId="2" applyAlignment="1" pivotButton="0" quotePrefix="0" xfId="0">
      <alignment horizontal="center" vertical="center" wrapText="1"/>
    </xf>
    <xf numFmtId="0" fontId="13" fillId="116" borderId="7" applyAlignment="1" pivotButton="0" quotePrefix="0" xfId="0">
      <alignment horizontal="center" vertical="center" wrapText="1"/>
    </xf>
    <xf numFmtId="0" fontId="13" fillId="116" borderId="2" applyAlignment="1" pivotButton="0" quotePrefix="0" xfId="0">
      <alignment horizontal="center" vertical="center" wrapText="1"/>
    </xf>
    <xf numFmtId="0" fontId="78" fillId="6" borderId="5" applyAlignment="1" pivotButton="0" quotePrefix="0" xfId="0">
      <alignment horizontal="center" vertical="center" wrapText="1"/>
    </xf>
    <xf numFmtId="0" fontId="78" fillId="6" borderId="2" applyAlignment="1" pivotButton="0" quotePrefix="0" xfId="0">
      <alignment horizontal="center" vertical="center" wrapText="1"/>
    </xf>
    <xf numFmtId="0" fontId="78" fillId="16" borderId="13" applyAlignment="1" pivotButton="0" quotePrefix="0" xfId="0">
      <alignment horizontal="center" vertical="center" wrapText="1"/>
    </xf>
    <xf numFmtId="0" fontId="78" fillId="16" borderId="2" applyAlignment="1" pivotButton="0" quotePrefix="0" xfId="0">
      <alignment horizontal="center" vertical="center" wrapText="1"/>
    </xf>
    <xf numFmtId="0" fontId="78" fillId="55" borderId="25" applyAlignment="1" pivotButton="0" quotePrefix="0" xfId="0">
      <alignment horizontal="center" vertical="center" wrapText="1"/>
    </xf>
    <xf numFmtId="0" fontId="78" fillId="55" borderId="2" applyAlignment="1" pivotButton="0" quotePrefix="0" xfId="0">
      <alignment horizontal="center" vertical="center" wrapText="1"/>
    </xf>
    <xf numFmtId="0" fontId="78" fillId="5" borderId="7" applyAlignment="1" pivotButton="0" quotePrefix="0" xfId="0">
      <alignment horizontal="center" vertical="center" wrapText="1"/>
    </xf>
    <xf numFmtId="0" fontId="78" fillId="5" borderId="2" applyAlignment="1" pivotButton="0" quotePrefix="0" xfId="0">
      <alignment horizontal="center" vertical="center" wrapText="1"/>
    </xf>
    <xf numFmtId="0" fontId="80" fillId="6" borderId="2" applyAlignment="1" pivotButton="0" quotePrefix="0" xfId="0">
      <alignment horizontal="center" vertical="center" wrapText="1"/>
    </xf>
    <xf numFmtId="0" fontId="80" fillId="16" borderId="2" applyAlignment="1" pivotButton="0" quotePrefix="0" xfId="0">
      <alignment horizontal="center" vertical="center" wrapText="1"/>
    </xf>
    <xf numFmtId="0" fontId="80" fillId="55" borderId="2" applyAlignment="1" pivotButton="0" quotePrefix="0" xfId="0">
      <alignment horizontal="center" vertical="center" wrapText="1"/>
    </xf>
    <xf numFmtId="0" fontId="80" fillId="5" borderId="2" applyAlignment="1" pivotButton="0" quotePrefix="0" xfId="0">
      <alignment horizontal="center" vertical="center" wrapText="1"/>
    </xf>
    <xf numFmtId="0" fontId="82" fillId="131" borderId="2" applyAlignment="1" pivotButton="0" quotePrefix="0" xfId="0">
      <alignment horizontal="center" vertical="center" wrapText="1"/>
    </xf>
    <xf numFmtId="0" fontId="79" fillId="11" borderId="5" applyAlignment="1" pivotButton="0" quotePrefix="0" xfId="0">
      <alignment horizontal="center" vertical="bottom" textRotation="90" wrapText="1"/>
    </xf>
    <xf numFmtId="0" fontId="79" fillId="11" borderId="2" applyAlignment="1" pivotButton="0" quotePrefix="0" xfId="0">
      <alignment horizontal="center" vertical="bottom" textRotation="90" wrapText="1"/>
    </xf>
    <xf numFmtId="0" fontId="79" fillId="11" borderId="13" applyAlignment="1" pivotButton="0" quotePrefix="0" xfId="0">
      <alignment horizontal="center" vertical="bottom" textRotation="90" wrapText="1"/>
    </xf>
    <xf numFmtId="0" fontId="79" fillId="11" borderId="25" applyAlignment="1" pivotButton="0" quotePrefix="0" xfId="0">
      <alignment horizontal="center" vertical="bottom" textRotation="90" wrapText="1"/>
    </xf>
    <xf numFmtId="0" fontId="79" fillId="11" borderId="7" applyAlignment="1" pivotButton="0" quotePrefix="0" xfId="0">
      <alignment horizontal="center" vertical="bottom" textRotation="90" wrapText="1"/>
    </xf>
    <xf numFmtId="0" fontId="55" fillId="29" borderId="2" applyAlignment="1" pivotButton="0" quotePrefix="0" xfId="0">
      <alignment horizontal="center" vertical="center" wrapText="1"/>
    </xf>
    <xf numFmtId="0" fontId="7" fillId="0" borderId="5" applyAlignment="1" applyProtection="1" pivotButton="0" quotePrefix="0" xfId="0">
      <alignment horizontal="center" vertical="center" wrapText="1"/>
      <protection locked="0" hidden="0"/>
    </xf>
    <xf numFmtId="0" fontId="7" fillId="0" borderId="2" applyAlignment="1" applyProtection="1" pivotButton="0" quotePrefix="0" xfId="0">
      <alignment horizontal="center" vertical="center" wrapText="1"/>
      <protection locked="0" hidden="0"/>
    </xf>
    <xf numFmtId="0" fontId="7" fillId="0" borderId="13" applyAlignment="1" applyProtection="1" pivotButton="0" quotePrefix="0" xfId="0">
      <alignment horizontal="center" vertical="center" wrapText="1"/>
      <protection locked="0" hidden="0"/>
    </xf>
    <xf numFmtId="0" fontId="7" fillId="0" borderId="25" applyAlignment="1" applyProtection="1" pivotButton="0" quotePrefix="0" xfId="0">
      <alignment horizontal="center" vertical="center" wrapText="1"/>
      <protection locked="0" hidden="0"/>
    </xf>
    <xf numFmtId="0" fontId="7" fillId="0" borderId="7" applyAlignment="1" applyProtection="1" pivotButton="0" quotePrefix="0" xfId="0">
      <alignment horizontal="center" vertical="center" wrapText="1"/>
      <protection locked="0" hidden="0"/>
    </xf>
    <xf numFmtId="2" fontId="84" fillId="6" borderId="2" applyAlignment="1" pivotButton="0" quotePrefix="0" xfId="0">
      <alignment horizontal="center" vertical="center" wrapText="1"/>
    </xf>
    <xf numFmtId="2" fontId="84" fillId="16" borderId="2" applyAlignment="1" pivotButton="0" quotePrefix="0" xfId="0">
      <alignment horizontal="center" vertical="center" wrapText="1"/>
    </xf>
    <xf numFmtId="2" fontId="84" fillId="55" borderId="2" applyAlignment="1" pivotButton="0" quotePrefix="0" xfId="0">
      <alignment horizontal="center" vertical="center" wrapText="1"/>
    </xf>
    <xf numFmtId="2" fontId="84" fillId="5" borderId="2" applyAlignment="1" pivotButton="0" quotePrefix="0" xfId="0">
      <alignment horizontal="center" vertical="center" wrapText="1"/>
    </xf>
    <xf numFmtId="2" fontId="84" fillId="29" borderId="2" applyAlignment="1" pivotButton="0" quotePrefix="0" xfId="0">
      <alignment horizontal="center" vertical="center" wrapText="1"/>
    </xf>
    <xf numFmtId="0" fontId="57" fillId="4" borderId="2" applyAlignment="1" applyProtection="1" pivotButton="0" quotePrefix="0" xfId="0">
      <alignment horizontal="left" vertical="center" wrapText="1"/>
      <protection locked="0" hidden="0"/>
    </xf>
    <xf numFmtId="0" fontId="84" fillId="29" borderId="2" applyAlignment="1" pivotButton="0" quotePrefix="0" xfId="0">
      <alignment horizontal="right" vertical="center"/>
    </xf>
    <xf numFmtId="165" fontId="80" fillId="6" borderId="5" applyAlignment="1" pivotButton="0" quotePrefix="0" xfId="0">
      <alignment horizontal="center" vertical="center" wrapText="1"/>
    </xf>
    <xf numFmtId="165" fontId="80" fillId="6" borderId="2" applyAlignment="1" pivotButton="0" quotePrefix="0" xfId="0">
      <alignment horizontal="center" vertical="center" wrapText="1"/>
    </xf>
    <xf numFmtId="165" fontId="80" fillId="16" borderId="13" applyAlignment="1" pivotButton="0" quotePrefix="0" xfId="0">
      <alignment horizontal="center" vertical="center" wrapText="1"/>
    </xf>
    <xf numFmtId="165" fontId="80" fillId="16" borderId="2" applyAlignment="1" pivotButton="0" quotePrefix="0" xfId="0">
      <alignment horizontal="center" vertical="center" wrapText="1"/>
    </xf>
    <xf numFmtId="165" fontId="80" fillId="55" borderId="25" applyAlignment="1" pivotButton="0" quotePrefix="0" xfId="0">
      <alignment horizontal="center" vertical="center" wrapText="1"/>
    </xf>
    <xf numFmtId="165" fontId="80" fillId="55" borderId="2" applyAlignment="1" pivotButton="0" quotePrefix="0" xfId="0">
      <alignment horizontal="center" vertical="center" wrapText="1"/>
    </xf>
    <xf numFmtId="165" fontId="80" fillId="5" borderId="7" applyAlignment="1" pivotButton="0" quotePrefix="0" xfId="0">
      <alignment horizontal="center" vertical="center" wrapText="1"/>
    </xf>
    <xf numFmtId="165" fontId="80" fillId="5" borderId="2" applyAlignment="1" pivotButton="0" quotePrefix="0" xfId="0">
      <alignment horizontal="center" vertical="center" wrapText="1"/>
    </xf>
    <xf numFmtId="2" fontId="80" fillId="6" borderId="2" applyAlignment="1" pivotButton="0" quotePrefix="0" xfId="0">
      <alignment horizontal="center" vertical="center" wrapText="1"/>
    </xf>
    <xf numFmtId="2" fontId="80" fillId="16" borderId="2" applyAlignment="1" pivotButton="0" quotePrefix="0" xfId="0">
      <alignment horizontal="center" vertical="center" wrapText="1"/>
    </xf>
    <xf numFmtId="2" fontId="80" fillId="55" borderId="2" applyAlignment="1" pivotButton="0" quotePrefix="0" xfId="0">
      <alignment horizontal="center" vertical="center" wrapText="1"/>
    </xf>
    <xf numFmtId="2" fontId="80" fillId="5" borderId="2" applyAlignment="1" pivotButton="0" quotePrefix="0" xfId="0">
      <alignment horizontal="center" vertical="center" wrapText="1"/>
    </xf>
    <xf numFmtId="2" fontId="80" fillId="29" borderId="2" applyAlignment="1" pivotButton="0" quotePrefix="0" xfId="0">
      <alignment horizontal="center" vertical="center" wrapText="1"/>
    </xf>
    <xf numFmtId="0" fontId="48" fillId="6" borderId="5" applyAlignment="1" pivotButton="0" quotePrefix="0" xfId="0">
      <alignment horizontal="center" vertical="center" wrapText="1"/>
    </xf>
    <xf numFmtId="0" fontId="48" fillId="6" borderId="2" applyAlignment="1" pivotButton="0" quotePrefix="0" xfId="0">
      <alignment horizontal="center" vertical="center" wrapText="1"/>
    </xf>
    <xf numFmtId="0" fontId="48" fillId="16" borderId="13" applyAlignment="1" pivotButton="0" quotePrefix="0" xfId="0">
      <alignment horizontal="center" vertical="center" wrapText="1"/>
    </xf>
    <xf numFmtId="0" fontId="48" fillId="16" borderId="2" applyAlignment="1" pivotButton="0" quotePrefix="0" xfId="0">
      <alignment horizontal="center" vertical="center" wrapText="1"/>
    </xf>
    <xf numFmtId="0" fontId="48" fillId="55" borderId="25" applyAlignment="1" pivotButton="0" quotePrefix="0" xfId="0">
      <alignment horizontal="center" vertical="center" wrapText="1"/>
    </xf>
    <xf numFmtId="0" fontId="48" fillId="55" borderId="2" applyAlignment="1" pivotButton="0" quotePrefix="0" xfId="0">
      <alignment horizontal="center" vertical="center" wrapText="1"/>
    </xf>
    <xf numFmtId="0" fontId="48" fillId="5" borderId="7" applyAlignment="1" pivotButton="0" quotePrefix="0" xfId="0">
      <alignment horizontal="center" vertical="center" wrapText="1"/>
    </xf>
    <xf numFmtId="0" fontId="48" fillId="5" borderId="2" applyAlignment="1" pivotButton="0" quotePrefix="0" xfId="0">
      <alignment horizontal="center" vertical="center" wrapText="1"/>
    </xf>
    <xf numFmtId="0" fontId="48" fillId="29" borderId="2" applyAlignment="1" pivotButton="0" quotePrefix="0" xfId="0">
      <alignment horizontal="center" vertical="center" wrapText="1"/>
    </xf>
    <xf numFmtId="0" fontId="85" fillId="0" borderId="0" applyAlignment="1" pivotButton="0" quotePrefix="0" xfId="0">
      <alignment horizontal="left" vertical="center"/>
    </xf>
    <xf numFmtId="0" fontId="271" fillId="145" borderId="2" applyAlignment="1" pivotButton="0" quotePrefix="0" xfId="0">
      <alignment horizontal="center" vertical="center" wrapText="1"/>
    </xf>
    <xf numFmtId="0" fontId="83" fillId="6" borderId="2" applyAlignment="1" pivotButton="0" quotePrefix="0" xfId="0">
      <alignment horizontal="left" vertical="center"/>
    </xf>
    <xf numFmtId="166" fontId="60" fillId="15" borderId="2" applyAlignment="1" pivotButton="0" quotePrefix="0" xfId="0">
      <alignment horizontal="center" vertical="center" wrapText="1"/>
    </xf>
    <xf numFmtId="166" fontId="40" fillId="16" borderId="2" applyAlignment="1" pivotButton="0" quotePrefix="0" xfId="0">
      <alignment horizontal="center" vertical="center" wrapText="1"/>
    </xf>
    <xf numFmtId="0" fontId="83" fillId="16" borderId="2" applyAlignment="1" pivotButton="0" quotePrefix="0" xfId="0">
      <alignment horizontal="left" vertical="center"/>
    </xf>
    <xf numFmtId="0" fontId="83" fillId="55" borderId="2" applyAlignment="1" pivotButton="0" quotePrefix="0" xfId="0">
      <alignment horizontal="left" vertical="center"/>
    </xf>
    <xf numFmtId="0" fontId="7" fillId="55" borderId="2" applyAlignment="1" pivotButton="0" quotePrefix="0" xfId="0">
      <alignment horizontal="center" vertical="center" wrapText="1"/>
    </xf>
    <xf numFmtId="0" fontId="83" fillId="5" borderId="2" applyAlignment="1" pivotButton="0" quotePrefix="0" xfId="0">
      <alignment horizontal="left" vertical="center"/>
    </xf>
    <xf numFmtId="0" fontId="83" fillId="29" borderId="2" applyAlignment="1" pivotButton="0" quotePrefix="0" xfId="0">
      <alignment horizontal="left" vertical="center"/>
    </xf>
    <xf numFmtId="0" fontId="52" fillId="32" borderId="0" applyAlignment="1" pivotButton="0" quotePrefix="0" xfId="0">
      <alignment horizontal="center" vertical="center" wrapText="1"/>
    </xf>
    <xf numFmtId="0" fontId="0" fillId="32" borderId="0" pivotButton="0" quotePrefix="0" xfId="0"/>
    <xf numFmtId="0" fontId="53" fillId="32" borderId="18" applyAlignment="1" pivotButton="0" quotePrefix="0" xfId="0">
      <alignment horizontal="center" vertical="center" wrapText="1"/>
    </xf>
    <xf numFmtId="0" fontId="3" fillId="32" borderId="18" applyAlignment="1" pivotButton="0" quotePrefix="0" xfId="0">
      <alignment horizontal="left" vertical="center"/>
    </xf>
    <xf numFmtId="0" fontId="0" fillId="32" borderId="18" pivotButton="0" quotePrefix="0" xfId="0"/>
    <xf numFmtId="0" fontId="54" fillId="0" borderId="0" applyAlignment="1" pivotButton="0" quotePrefix="0" xfId="0">
      <alignment horizontal="left" vertical="center"/>
    </xf>
    <xf numFmtId="0" fontId="21" fillId="33" borderId="2" applyAlignment="1" pivotButton="0" quotePrefix="0" xfId="0">
      <alignment horizontal="center" vertical="center" wrapText="1"/>
    </xf>
    <xf numFmtId="0" fontId="22" fillId="33" borderId="2" applyAlignment="1" pivotButton="0" quotePrefix="0" xfId="0">
      <alignment horizontal="center" vertical="center" wrapText="1"/>
    </xf>
    <xf numFmtId="0" fontId="226" fillId="124" borderId="19" applyAlignment="1" pivotButton="0" quotePrefix="0" xfId="0">
      <alignment horizontal="center" vertical="center" wrapText="1"/>
    </xf>
    <xf numFmtId="0" fontId="272" fillId="146" borderId="19" applyAlignment="1" pivotButton="0" quotePrefix="0" xfId="0">
      <alignment horizontal="center" vertical="center" wrapText="1"/>
    </xf>
    <xf numFmtId="0" fontId="56" fillId="33" borderId="19" applyAlignment="1" pivotButton="0" quotePrefix="0" xfId="0">
      <alignment horizontal="center" vertical="center" wrapText="1"/>
    </xf>
    <xf numFmtId="0" fontId="7" fillId="4" borderId="2" applyAlignment="1" applyProtection="1" pivotButton="0" quotePrefix="0" xfId="0">
      <alignment horizontal="center" vertical="center" wrapText="1"/>
      <protection locked="0" hidden="0"/>
    </xf>
    <xf numFmtId="0" fontId="48" fillId="33" borderId="2" applyAlignment="1" pivotButton="0" quotePrefix="0" xfId="0">
      <alignment horizontal="center" vertical="center" wrapText="1"/>
    </xf>
    <xf numFmtId="0" fontId="56" fillId="33" borderId="2" applyAlignment="1" pivotButton="0" quotePrefix="0" xfId="0">
      <alignment horizontal="center" vertical="center" wrapText="1"/>
    </xf>
    <xf numFmtId="0" fontId="0" fillId="0" borderId="20" pivotButton="0" quotePrefix="0" xfId="0"/>
    <xf numFmtId="0" fontId="55" fillId="33" borderId="2" applyAlignment="1" pivotButton="0" quotePrefix="0" xfId="0">
      <alignment horizontal="center" vertical="center" wrapText="1"/>
    </xf>
    <xf numFmtId="165" fontId="57" fillId="0" borderId="19" applyAlignment="1" applyProtection="1" pivotButton="0" quotePrefix="0" xfId="0">
      <alignment horizontal="center" vertical="center" wrapText="1"/>
      <protection locked="0" hidden="0"/>
    </xf>
    <xf numFmtId="165" fontId="57" fillId="0" borderId="2" applyAlignment="1" applyProtection="1" pivotButton="0" quotePrefix="0" xfId="0">
      <alignment horizontal="center" vertical="center" wrapText="1"/>
      <protection locked="0" hidden="0"/>
    </xf>
    <xf numFmtId="165" fontId="58" fillId="33" borderId="2" applyAlignment="1" pivotButton="0" quotePrefix="0" xfId="0">
      <alignment horizontal="center" vertical="center" wrapText="1"/>
    </xf>
    <xf numFmtId="2" fontId="0" fillId="0" borderId="0" pivotButton="0" quotePrefix="0" xfId="0"/>
    <xf numFmtId="0" fontId="59" fillId="0" borderId="0" applyAlignment="1" pivotButton="0" quotePrefix="0" xfId="0">
      <alignment horizontal="left" vertical="center"/>
    </xf>
    <xf numFmtId="0" fontId="54" fillId="36" borderId="2" applyAlignment="1" pivotButton="0" quotePrefix="0" xfId="0">
      <alignment horizontal="left" vertical="center"/>
    </xf>
    <xf numFmtId="0" fontId="54" fillId="36" borderId="2" applyAlignment="1" pivotButton="0" quotePrefix="0" xfId="0">
      <alignment horizontal="center" vertical="center" wrapText="1"/>
    </xf>
    <xf numFmtId="0" fontId="54" fillId="16" borderId="2" applyAlignment="1" pivotButton="0" quotePrefix="0" xfId="0">
      <alignment horizontal="left" vertical="center"/>
    </xf>
    <xf numFmtId="0" fontId="54" fillId="16" borderId="2" applyAlignment="1" pivotButton="0" quotePrefix="0" xfId="0">
      <alignment horizontal="center" vertical="center" wrapText="1"/>
    </xf>
    <xf numFmtId="0" fontId="54" fillId="15" borderId="2" applyAlignment="1" pivotButton="0" quotePrefix="0" xfId="0">
      <alignment horizontal="left" vertical="center"/>
    </xf>
    <xf numFmtId="0" fontId="54" fillId="15" borderId="2" applyAlignment="1" pivotButton="0" quotePrefix="0" xfId="0">
      <alignment horizontal="center" vertical="center" wrapText="1"/>
    </xf>
    <xf numFmtId="0" fontId="54" fillId="37" borderId="2" applyAlignment="1" pivotButton="0" quotePrefix="0" xfId="0">
      <alignment horizontal="left" vertical="center"/>
    </xf>
    <xf numFmtId="0" fontId="54" fillId="37" borderId="2" applyAlignment="1" pivotButton="0" quotePrefix="0" xfId="0">
      <alignment horizontal="center" vertical="center" wrapText="1"/>
    </xf>
    <xf numFmtId="0" fontId="54" fillId="5" borderId="2" applyAlignment="1" pivotButton="0" quotePrefix="0" xfId="0">
      <alignment horizontal="left" vertical="center"/>
    </xf>
    <xf numFmtId="0" fontId="54" fillId="5" borderId="2" applyAlignment="1" pivotButton="0" quotePrefix="0" xfId="0">
      <alignment horizontal="center" vertical="center" wrapText="1"/>
    </xf>
    <xf numFmtId="0" fontId="273" fillId="147" borderId="2" applyAlignment="1" pivotButton="0" quotePrefix="0" xfId="0">
      <alignment horizontal="left" vertical="center"/>
    </xf>
    <xf numFmtId="0" fontId="273" fillId="147" borderId="2" applyAlignment="1" pivotButton="0" quotePrefix="0" xfId="0">
      <alignment horizontal="center" vertical="center" wrapText="1"/>
    </xf>
    <xf numFmtId="0" fontId="60" fillId="15" borderId="2" applyAlignment="1" pivotButton="0" quotePrefix="0" xfId="0">
      <alignment horizontal="left" vertical="center"/>
    </xf>
    <xf numFmtId="9" fontId="60" fillId="15" borderId="2" applyAlignment="1" pivotButton="0" quotePrefix="0" xfId="0">
      <alignment horizontal="center" vertical="center" wrapText="1"/>
    </xf>
    <xf numFmtId="0" fontId="58" fillId="0" borderId="0" applyAlignment="1" pivotButton="0" quotePrefix="0" xfId="0">
      <alignment horizontal="left" vertical="center"/>
    </xf>
    <xf numFmtId="0" fontId="46" fillId="0" borderId="0" applyAlignment="1" pivotButton="0" quotePrefix="0" xfId="0">
      <alignment horizontal="left" vertical="center"/>
    </xf>
    <xf numFmtId="0" fontId="238" fillId="130" borderId="16" applyAlignment="1" pivotButton="0" quotePrefix="0" xfId="0">
      <alignment horizontal="center" vertical="center" wrapText="1"/>
    </xf>
    <xf numFmtId="0" fontId="274" fillId="148" borderId="2" applyAlignment="1" pivotButton="0" quotePrefix="0" xfId="0">
      <alignment horizontal="center" vertical="center" wrapText="1"/>
    </xf>
    <xf numFmtId="0" fontId="47" fillId="29" borderId="16" applyAlignment="1" pivotButton="0" quotePrefix="0" xfId="0">
      <alignment horizontal="center" vertical="center" wrapText="1"/>
    </xf>
    <xf numFmtId="0" fontId="47" fillId="29" borderId="17" applyAlignment="1" pivotButton="0" quotePrefix="0" xfId="0">
      <alignment horizontal="center" vertical="center" wrapText="1"/>
    </xf>
    <xf numFmtId="0" fontId="49" fillId="6" borderId="2" applyAlignment="1" pivotButton="0" quotePrefix="0" xfId="0">
      <alignment horizontal="center" vertical="center" wrapText="1"/>
    </xf>
    <xf numFmtId="0" fontId="48" fillId="29" borderId="16" applyAlignment="1" pivotButton="0" quotePrefix="0" xfId="0">
      <alignment horizontal="center" vertical="center" wrapText="1"/>
    </xf>
    <xf numFmtId="0" fontId="48" fillId="29" borderId="17" applyAlignment="1" pivotButton="0" quotePrefix="0" xfId="0">
      <alignment horizontal="center" vertical="center" wrapText="1"/>
    </xf>
    <xf numFmtId="0" fontId="49" fillId="29" borderId="16" applyAlignment="1" pivotButton="0" quotePrefix="0" xfId="0">
      <alignment horizontal="center" vertical="center" textRotation="90"/>
    </xf>
    <xf numFmtId="0" fontId="49" fillId="29" borderId="2" applyAlignment="1" pivotButton="0" quotePrefix="0" xfId="0">
      <alignment horizontal="center" vertical="center" textRotation="90"/>
    </xf>
    <xf numFmtId="0" fontId="49" fillId="29" borderId="17" applyAlignment="1" pivotButton="0" quotePrefix="0" xfId="0">
      <alignment horizontal="center" vertical="center" textRotation="90"/>
    </xf>
    <xf numFmtId="0" fontId="46" fillId="29" borderId="2" applyAlignment="1" pivotButton="0" quotePrefix="0" xfId="0">
      <alignment horizontal="center" vertical="center" wrapText="1"/>
    </xf>
    <xf numFmtId="0" fontId="10" fillId="0" borderId="16" applyAlignment="1" applyProtection="1" pivotButton="0" quotePrefix="0" xfId="0">
      <alignment horizontal="center" vertical="center" wrapText="1"/>
      <protection locked="0" hidden="0"/>
    </xf>
    <xf numFmtId="0" fontId="10" fillId="0" borderId="17" applyAlignment="1" applyProtection="1" pivotButton="0" quotePrefix="0" xfId="0">
      <alignment horizontal="center" vertical="center" wrapText="1"/>
      <protection locked="0" hidden="0"/>
    </xf>
    <xf numFmtId="0" fontId="46" fillId="6" borderId="2" applyAlignment="1" pivotButton="0" quotePrefix="0" xfId="0">
      <alignment horizontal="center" vertical="center" wrapText="1"/>
    </xf>
    <xf numFmtId="0" fontId="47" fillId="29" borderId="2" applyAlignment="1" pivotButton="0" quotePrefix="0" xfId="0">
      <alignment horizontal="right"/>
    </xf>
    <xf numFmtId="0" fontId="49" fillId="29" borderId="16" applyAlignment="1" pivotButton="0" quotePrefix="0" xfId="0">
      <alignment horizontal="center" vertical="center" wrapText="1"/>
    </xf>
    <xf numFmtId="0" fontId="49" fillId="29" borderId="2" applyAlignment="1" pivotButton="0" quotePrefix="0" xfId="0">
      <alignment horizontal="center" vertical="center" wrapText="1"/>
    </xf>
    <xf numFmtId="0" fontId="49" fillId="29" borderId="17" applyAlignment="1" pivotButton="0" quotePrefix="0" xfId="0">
      <alignment horizontal="center" vertical="center" wrapText="1"/>
    </xf>
    <xf numFmtId="0" fontId="47" fillId="6" borderId="2" applyAlignment="1" pivotButton="0" quotePrefix="0" xfId="0">
      <alignment horizontal="center" vertical="center" wrapText="1"/>
    </xf>
    <xf numFmtId="0" fontId="51" fillId="0" borderId="0" applyAlignment="1" pivotButton="0" quotePrefix="0" xfId="0">
      <alignment horizontal="left" vertical="center"/>
    </xf>
    <xf numFmtId="0" fontId="46" fillId="29" borderId="2" applyAlignment="1" pivotButton="0" quotePrefix="0" xfId="0">
      <alignment horizontal="left" vertical="center"/>
    </xf>
    <xf numFmtId="0" fontId="51" fillId="6" borderId="2" applyAlignment="1" pivotButton="0" quotePrefix="0" xfId="0">
      <alignment horizontal="center" vertical="center" wrapText="1"/>
    </xf>
    <xf numFmtId="0" fontId="21" fillId="3" borderId="2" applyAlignment="1" pivotButton="0" quotePrefix="0" xfId="0">
      <alignment horizontal="center" vertical="center" wrapText="1"/>
    </xf>
    <xf numFmtId="0" fontId="22" fillId="3" borderId="2" applyAlignment="1" pivotButton="0" quotePrefix="0" xfId="0">
      <alignment horizontal="center" vertical="center" wrapText="1"/>
    </xf>
    <xf numFmtId="0" fontId="275" fillId="116" borderId="7" applyAlignment="1" pivotButton="0" quotePrefix="0" xfId="0">
      <alignment horizontal="center" vertical="center" wrapText="1"/>
    </xf>
    <xf numFmtId="0" fontId="276" fillId="149" borderId="7" applyAlignment="1" pivotButton="0" quotePrefix="0" xfId="0">
      <alignment horizontal="center" vertical="center" wrapText="1"/>
    </xf>
    <xf numFmtId="0" fontId="22" fillId="3" borderId="7" applyAlignment="1" pivotButton="0" quotePrefix="0" xfId="0">
      <alignment horizontal="center" vertical="center" wrapText="1"/>
    </xf>
    <xf numFmtId="0" fontId="31" fillId="15" borderId="7" applyAlignment="1" pivotButton="0" quotePrefix="0" xfId="0">
      <alignment horizontal="center" vertical="center" wrapText="1"/>
    </xf>
    <xf numFmtId="0" fontId="31" fillId="6" borderId="2" applyAlignment="1" pivotButton="0" quotePrefix="0" xfId="0">
      <alignment horizontal="center" vertical="center" wrapText="1"/>
    </xf>
    <xf numFmtId="0" fontId="31" fillId="16" borderId="2" applyAlignment="1" pivotButton="0" quotePrefix="0" xfId="0">
      <alignment horizontal="center" vertical="center" wrapText="1"/>
    </xf>
    <xf numFmtId="0" fontId="24" fillId="3" borderId="7" applyAlignment="1" pivotButton="0" quotePrefix="0" xfId="0">
      <alignment horizontal="center" vertical="center" wrapText="1"/>
    </xf>
    <xf numFmtId="0" fontId="24" fillId="3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25" fillId="11" borderId="7" applyAlignment="1" pivotButton="0" quotePrefix="0" xfId="0">
      <alignment horizontal="center" vertical="center" textRotation="90" wrapText="1"/>
    </xf>
    <xf numFmtId="9" fontId="30" fillId="3" borderId="2" applyAlignment="1" pivotButton="0" quotePrefix="0" xfId="0">
      <alignment horizontal="center" vertical="center" wrapText="1"/>
    </xf>
    <xf numFmtId="0" fontId="10" fillId="0" borderId="7" applyAlignment="1" applyProtection="1" pivotButton="0" quotePrefix="0" xfId="0">
      <alignment horizontal="center" vertical="center" wrapText="1"/>
      <protection locked="0" hidden="0"/>
    </xf>
    <xf numFmtId="1" fontId="30" fillId="15" borderId="7" applyAlignment="1" pivotButton="0" quotePrefix="0" xfId="0">
      <alignment horizontal="center" vertical="center" wrapText="1"/>
    </xf>
    <xf numFmtId="1" fontId="30" fillId="6" borderId="2" applyAlignment="1" pivotButton="0" quotePrefix="0" xfId="0">
      <alignment horizontal="center" vertical="center" wrapText="1"/>
    </xf>
    <xf numFmtId="1" fontId="30" fillId="16" borderId="2" applyAlignment="1" pivotButton="0" quotePrefix="0" xfId="0">
      <alignment horizontal="center" vertical="center" wrapText="1"/>
    </xf>
    <xf numFmtId="0" fontId="31" fillId="3" borderId="2" applyAlignment="1" pivotButton="0" quotePrefix="0" xfId="0">
      <alignment horizontal="right" vertical="center"/>
    </xf>
    <xf numFmtId="0" fontId="32" fillId="3" borderId="7" applyAlignment="1" pivotButton="0" quotePrefix="0" xfId="0">
      <alignment horizontal="center" vertical="center" wrapText="1"/>
    </xf>
    <xf numFmtId="0" fontId="32" fillId="3" borderId="2" applyAlignment="1" pivotButton="0" quotePrefix="0" xfId="0">
      <alignment horizontal="center" vertical="center" wrapText="1"/>
    </xf>
    <xf numFmtId="1" fontId="31" fillId="15" borderId="7" applyAlignment="1" pivotButton="0" quotePrefix="0" xfId="0">
      <alignment horizontal="center" vertical="center" wrapText="1"/>
    </xf>
    <xf numFmtId="1" fontId="31" fillId="6" borderId="2" applyAlignment="1" pivotButton="0" quotePrefix="0" xfId="0">
      <alignment horizontal="center" vertical="center" wrapText="1"/>
    </xf>
    <xf numFmtId="1" fontId="31" fillId="16" borderId="2" applyAlignment="1" pivotButton="0" quotePrefix="0" xfId="0">
      <alignment horizontal="center" vertical="center" wrapText="1"/>
    </xf>
    <xf numFmtId="0" fontId="10" fillId="3" borderId="7" applyAlignment="1" pivotButton="0" quotePrefix="0" xfId="0">
      <alignment horizontal="center" vertical="center" wrapText="1"/>
    </xf>
    <xf numFmtId="0" fontId="33" fillId="19" borderId="0" applyAlignment="1" pivotButton="0" quotePrefix="0" xfId="0">
      <alignment horizontal="center" vertical="center" wrapText="1"/>
    </xf>
    <xf numFmtId="0" fontId="0" fillId="19" borderId="0" pivotButton="0" quotePrefix="0" xfId="0"/>
    <xf numFmtId="0" fontId="34" fillId="19" borderId="9" applyAlignment="1" pivotButton="0" quotePrefix="0" xfId="0">
      <alignment horizontal="center" vertical="center" wrapText="1"/>
    </xf>
    <xf numFmtId="0" fontId="3" fillId="19" borderId="9" applyAlignment="1" pivotButton="0" quotePrefix="0" xfId="0">
      <alignment horizontal="left" vertical="center"/>
    </xf>
    <xf numFmtId="0" fontId="0" fillId="19" borderId="9" pivotButton="0" quotePrefix="0" xfId="0"/>
    <xf numFmtId="0" fontId="22" fillId="20" borderId="2" applyAlignment="1" pivotButton="0" quotePrefix="0" xfId="0">
      <alignment horizontal="center" vertical="center" wrapText="1"/>
    </xf>
    <xf numFmtId="0" fontId="277" fillId="121" borderId="10" applyAlignment="1" pivotButton="0" quotePrefix="0" xfId="0">
      <alignment horizontal="center" vertical="center" wrapText="1"/>
    </xf>
    <xf numFmtId="0" fontId="278" fillId="141" borderId="10" applyAlignment="1" pivotButton="0" quotePrefix="0" xfId="0">
      <alignment horizontal="center" vertical="center" wrapText="1"/>
    </xf>
    <xf numFmtId="0" fontId="22" fillId="20" borderId="10" applyAlignment="1" pivotButton="0" quotePrefix="0" xfId="0">
      <alignment horizontal="center" vertical="center" wrapText="1"/>
    </xf>
    <xf numFmtId="0" fontId="36" fillId="15" borderId="10" applyAlignment="1" pivotButton="0" quotePrefix="0" xfId="0">
      <alignment horizontal="center" vertical="center" wrapText="1"/>
    </xf>
    <xf numFmtId="0" fontId="36" fillId="6" borderId="2" applyAlignment="1" pivotButton="0" quotePrefix="0" xfId="0">
      <alignment horizontal="center" vertical="center" wrapText="1"/>
    </xf>
    <xf numFmtId="0" fontId="36" fillId="16" borderId="2" applyAlignment="1" pivotButton="0" quotePrefix="0" xfId="0">
      <alignment horizontal="center" vertical="center" wrapText="1"/>
    </xf>
    <xf numFmtId="0" fontId="24" fillId="20" borderId="10" applyAlignment="1" pivotButton="0" quotePrefix="0" xfId="0">
      <alignment horizontal="center" vertical="center" wrapText="1"/>
    </xf>
    <xf numFmtId="0" fontId="24" fillId="20" borderId="2" applyAlignment="1" pivotButton="0" quotePrefix="0" xfId="0">
      <alignment horizontal="center" vertical="center" wrapText="1"/>
    </xf>
    <xf numFmtId="0" fontId="0" fillId="0" borderId="11" pivotButton="0" quotePrefix="0" xfId="0"/>
    <xf numFmtId="0" fontId="25" fillId="11" borderId="10" applyAlignment="1" pivotButton="0" quotePrefix="0" xfId="0">
      <alignment horizontal="center" vertical="center" textRotation="90" wrapText="1"/>
    </xf>
    <xf numFmtId="9" fontId="35" fillId="20" borderId="2" applyAlignment="1" pivotButton="0" quotePrefix="0" xfId="0">
      <alignment horizontal="center" vertical="center" wrapText="1"/>
    </xf>
    <xf numFmtId="0" fontId="10" fillId="0" borderId="10" applyAlignment="1" applyProtection="1" pivotButton="0" quotePrefix="0" xfId="0">
      <alignment horizontal="center" vertical="center" wrapText="1"/>
      <protection locked="0" hidden="0"/>
    </xf>
    <xf numFmtId="1" fontId="35" fillId="15" borderId="10" applyAlignment="1" pivotButton="0" quotePrefix="0" xfId="0">
      <alignment horizontal="center" vertical="center" wrapText="1"/>
    </xf>
    <xf numFmtId="1" fontId="35" fillId="6" borderId="2" applyAlignment="1" pivotButton="0" quotePrefix="0" xfId="0">
      <alignment horizontal="center" vertical="center" wrapText="1"/>
    </xf>
    <xf numFmtId="1" fontId="35" fillId="16" borderId="2" applyAlignment="1" pivotButton="0" quotePrefix="0" xfId="0">
      <alignment horizontal="center" vertical="center" wrapText="1"/>
    </xf>
    <xf numFmtId="0" fontId="36" fillId="20" borderId="2" applyAlignment="1" pivotButton="0" quotePrefix="0" xfId="0">
      <alignment horizontal="right" vertical="center"/>
    </xf>
    <xf numFmtId="0" fontId="37" fillId="20" borderId="10" applyAlignment="1" pivotButton="0" quotePrefix="0" xfId="0">
      <alignment horizontal="center" vertical="center" wrapText="1"/>
    </xf>
    <xf numFmtId="0" fontId="37" fillId="20" borderId="2" applyAlignment="1" pivotButton="0" quotePrefix="0" xfId="0">
      <alignment horizontal="center" vertical="center" wrapText="1"/>
    </xf>
    <xf numFmtId="1" fontId="36" fillId="15" borderId="10" applyAlignment="1" pivotButton="0" quotePrefix="0" xfId="0">
      <alignment horizontal="center" vertical="center" wrapText="1"/>
    </xf>
    <xf numFmtId="1" fontId="36" fillId="6" borderId="2" applyAlignment="1" pivotButton="0" quotePrefix="0" xfId="0">
      <alignment horizontal="center" vertical="center" wrapText="1"/>
    </xf>
    <xf numFmtId="1" fontId="36" fillId="16" borderId="2" applyAlignment="1" pivotButton="0" quotePrefix="0" xfId="0">
      <alignment horizontal="center" vertical="center" wrapText="1"/>
    </xf>
    <xf numFmtId="0" fontId="10" fillId="20" borderId="10" applyAlignment="1" pivotButton="0" quotePrefix="0" xfId="0">
      <alignment horizontal="center" vertical="center" wrapText="1"/>
    </xf>
    <xf numFmtId="0" fontId="10" fillId="20" borderId="2" applyAlignment="1" pivotButton="0" quotePrefix="0" xfId="0">
      <alignment horizontal="center" vertical="center" wrapText="1"/>
    </xf>
    <xf numFmtId="0" fontId="61" fillId="39" borderId="0" applyAlignment="1" pivotButton="0" quotePrefix="0" xfId="0">
      <alignment horizontal="center" vertical="center" wrapText="1"/>
    </xf>
    <xf numFmtId="0" fontId="0" fillId="39" borderId="0" pivotButton="0" quotePrefix="0" xfId="0"/>
    <xf numFmtId="0" fontId="62" fillId="39" borderId="21" applyAlignment="1" pivotButton="0" quotePrefix="0" xfId="0">
      <alignment horizontal="center" vertical="center" wrapText="1"/>
    </xf>
    <xf numFmtId="0" fontId="3" fillId="39" borderId="21" applyAlignment="1" pivotButton="0" quotePrefix="0" xfId="0">
      <alignment horizontal="left" vertical="center"/>
    </xf>
    <xf numFmtId="0" fontId="0" fillId="39" borderId="21" pivotButton="0" quotePrefix="0" xfId="0"/>
    <xf numFmtId="0" fontId="63" fillId="0" borderId="0" applyAlignment="1" pivotButton="0" quotePrefix="0" xfId="0">
      <alignment horizontal="left" vertical="center"/>
    </xf>
    <xf numFmtId="0" fontId="21" fillId="40" borderId="2" applyAlignment="1" pivotButton="0" quotePrefix="0" xfId="0">
      <alignment horizontal="center" vertical="center" wrapText="1"/>
    </xf>
    <xf numFmtId="0" fontId="22" fillId="40" borderId="2" applyAlignment="1" pivotButton="0" quotePrefix="0" xfId="0">
      <alignment horizontal="center" vertical="center" wrapText="1"/>
    </xf>
    <xf numFmtId="0" fontId="279" fillId="122" borderId="22" applyAlignment="1" pivotButton="0" quotePrefix="0" xfId="0">
      <alignment horizontal="center" vertical="center" wrapText="1"/>
    </xf>
    <xf numFmtId="0" fontId="280" fillId="150" borderId="22" applyAlignment="1" pivotButton="0" quotePrefix="0" xfId="0">
      <alignment horizontal="center" vertical="center" wrapText="1"/>
    </xf>
    <xf numFmtId="0" fontId="22" fillId="40" borderId="22" applyAlignment="1" pivotButton="0" quotePrefix="0" xfId="0">
      <alignment horizontal="center" vertical="center" wrapText="1"/>
    </xf>
    <xf numFmtId="0" fontId="64" fillId="15" borderId="22" applyAlignment="1" pivotButton="0" quotePrefix="0" xfId="0">
      <alignment horizontal="center" vertical="center" wrapText="1"/>
    </xf>
    <xf numFmtId="0" fontId="64" fillId="16" borderId="2" applyAlignment="1" pivotButton="0" quotePrefix="0" xfId="0">
      <alignment horizontal="center" vertical="center" wrapText="1"/>
    </xf>
    <xf numFmtId="0" fontId="64" fillId="6" borderId="2" applyAlignment="1" pivotButton="0" quotePrefix="0" xfId="0">
      <alignment horizontal="center" vertical="center" wrapText="1"/>
    </xf>
    <xf numFmtId="0" fontId="24" fillId="40" borderId="22" applyAlignment="1" pivotButton="0" quotePrefix="0" xfId="0">
      <alignment horizontal="center" vertical="center" wrapText="1"/>
    </xf>
    <xf numFmtId="0" fontId="24" fillId="40" borderId="2" applyAlignment="1" pivotButton="0" quotePrefix="0" xfId="0">
      <alignment horizontal="center" vertical="center" wrapText="1"/>
    </xf>
    <xf numFmtId="0" fontId="0" fillId="0" borderId="23" pivotButton="0" quotePrefix="0" xfId="0"/>
    <xf numFmtId="0" fontId="25" fillId="11" borderId="22" applyAlignment="1" pivotButton="0" quotePrefix="0" xfId="0">
      <alignment horizontal="center" vertical="center" textRotation="90" wrapText="1"/>
    </xf>
    <xf numFmtId="9" fontId="63" fillId="40" borderId="2" applyAlignment="1" pivotButton="0" quotePrefix="0" xfId="0">
      <alignment horizontal="center" vertical="center" wrapText="1"/>
    </xf>
    <xf numFmtId="0" fontId="10" fillId="0" borderId="22" applyAlignment="1" applyProtection="1" pivotButton="0" quotePrefix="0" xfId="0">
      <alignment horizontal="center" vertical="center" wrapText="1"/>
      <protection locked="0" hidden="0"/>
    </xf>
    <xf numFmtId="1" fontId="63" fillId="15" borderId="22" applyAlignment="1" pivotButton="0" quotePrefix="0" xfId="0">
      <alignment horizontal="center" vertical="center" wrapText="1"/>
    </xf>
    <xf numFmtId="1" fontId="63" fillId="16" borderId="2" applyAlignment="1" pivotButton="0" quotePrefix="0" xfId="0">
      <alignment horizontal="center" vertical="center" wrapText="1"/>
    </xf>
    <xf numFmtId="1" fontId="63" fillId="6" borderId="2" applyAlignment="1" pivotButton="0" quotePrefix="0" xfId="0">
      <alignment horizontal="center" vertical="center" wrapText="1"/>
    </xf>
    <xf numFmtId="0" fontId="64" fillId="40" borderId="2" applyAlignment="1" pivotButton="0" quotePrefix="0" xfId="0">
      <alignment horizontal="right" vertical="center"/>
    </xf>
    <xf numFmtId="0" fontId="65" fillId="40" borderId="22" applyAlignment="1" pivotButton="0" quotePrefix="0" xfId="0">
      <alignment horizontal="center" vertical="center" wrapText="1"/>
    </xf>
    <xf numFmtId="0" fontId="65" fillId="40" borderId="2" applyAlignment="1" pivotButton="0" quotePrefix="0" xfId="0">
      <alignment horizontal="center" vertical="center" wrapText="1"/>
    </xf>
    <xf numFmtId="1" fontId="64" fillId="15" borderId="22" applyAlignment="1" pivotButton="0" quotePrefix="0" xfId="0">
      <alignment horizontal="center" vertical="center" wrapText="1"/>
    </xf>
    <xf numFmtId="1" fontId="64" fillId="16" borderId="2" applyAlignment="1" pivotButton="0" quotePrefix="0" xfId="0">
      <alignment horizontal="center" vertical="center" wrapText="1"/>
    </xf>
    <xf numFmtId="1" fontId="64" fillId="6" borderId="2" applyAlignment="1" pivotButton="0" quotePrefix="0" xfId="0">
      <alignment horizontal="center" vertical="center" wrapText="1"/>
    </xf>
    <xf numFmtId="0" fontId="55" fillId="4" borderId="22" applyAlignment="1" applyProtection="1" pivotButton="0" quotePrefix="0" xfId="0">
      <alignment horizontal="center" vertical="bottom" textRotation="90" wrapText="1"/>
      <protection locked="0" hidden="0"/>
    </xf>
    <xf numFmtId="0" fontId="55" fillId="4" borderId="2" applyAlignment="1" applyProtection="1" pivotButton="0" quotePrefix="0" xfId="0">
      <alignment horizontal="center" vertical="bottom" textRotation="90" wrapText="1"/>
      <protection locked="0" hidden="0"/>
    </xf>
    <xf numFmtId="0" fontId="94" fillId="65" borderId="0" applyAlignment="1" pivotButton="0" quotePrefix="0" xfId="0">
      <alignment horizontal="center" vertical="center" wrapText="1"/>
    </xf>
    <xf numFmtId="0" fontId="0" fillId="65" borderId="0" pivotButton="0" quotePrefix="0" xfId="0"/>
    <xf numFmtId="0" fontId="95" fillId="65" borderId="35" applyAlignment="1" pivotButton="0" quotePrefix="0" xfId="0">
      <alignment horizontal="center" vertical="center" wrapText="1"/>
    </xf>
    <xf numFmtId="0" fontId="3" fillId="65" borderId="35" applyAlignment="1" pivotButton="0" quotePrefix="0" xfId="0">
      <alignment horizontal="left" vertical="center"/>
    </xf>
    <xf numFmtId="0" fontId="0" fillId="65" borderId="35" pivotButton="0" quotePrefix="0" xfId="0"/>
    <xf numFmtId="0" fontId="96" fillId="0" borderId="0" applyAlignment="1" pivotButton="0" quotePrefix="0" xfId="0">
      <alignment horizontal="left" vertical="center"/>
    </xf>
    <xf numFmtId="0" fontId="21" fillId="66" borderId="2" applyAlignment="1" pivotButton="0" quotePrefix="0" xfId="0">
      <alignment horizontal="center" vertical="center" wrapText="1"/>
    </xf>
    <xf numFmtId="0" fontId="22" fillId="66" borderId="2" applyAlignment="1" pivotButton="0" quotePrefix="0" xfId="0">
      <alignment horizontal="center" vertical="center" wrapText="1"/>
    </xf>
    <xf numFmtId="0" fontId="281" fillId="151" borderId="36" applyAlignment="1" pivotButton="0" quotePrefix="0" xfId="0">
      <alignment horizontal="center" vertical="center" wrapText="1"/>
    </xf>
    <xf numFmtId="0" fontId="282" fillId="152" borderId="36" applyAlignment="1" pivotButton="0" quotePrefix="0" xfId="0">
      <alignment horizontal="center" vertical="center" wrapText="1"/>
    </xf>
    <xf numFmtId="0" fontId="22" fillId="66" borderId="36" applyAlignment="1" pivotButton="0" quotePrefix="0" xfId="0">
      <alignment horizontal="center" vertical="center" wrapText="1"/>
    </xf>
    <xf numFmtId="0" fontId="97" fillId="15" borderId="36" applyAlignment="1" pivotButton="0" quotePrefix="0" xfId="0">
      <alignment horizontal="center" vertical="center" wrapText="1"/>
    </xf>
    <xf numFmtId="0" fontId="97" fillId="16" borderId="2" applyAlignment="1" pivotButton="0" quotePrefix="0" xfId="0">
      <alignment horizontal="center" vertical="center" wrapText="1"/>
    </xf>
    <xf numFmtId="0" fontId="97" fillId="6" borderId="2" applyAlignment="1" pivotButton="0" quotePrefix="0" xfId="0">
      <alignment horizontal="center" vertical="center" wrapText="1"/>
    </xf>
    <xf numFmtId="0" fontId="24" fillId="66" borderId="36" applyAlignment="1" pivotButton="0" quotePrefix="0" xfId="0">
      <alignment horizontal="center" vertical="center" wrapText="1"/>
    </xf>
    <xf numFmtId="0" fontId="24" fillId="66" borderId="2" applyAlignment="1" pivotButton="0" quotePrefix="0" xfId="0">
      <alignment horizontal="center" vertical="center" wrapText="1"/>
    </xf>
    <xf numFmtId="0" fontId="0" fillId="0" borderId="37" pivotButton="0" quotePrefix="0" xfId="0"/>
    <xf numFmtId="0" fontId="25" fillId="11" borderId="36" applyAlignment="1" pivotButton="0" quotePrefix="0" xfId="0">
      <alignment horizontal="center" vertical="center" textRotation="90" wrapText="1"/>
    </xf>
    <xf numFmtId="9" fontId="96" fillId="66" borderId="2" applyAlignment="1" pivotButton="0" quotePrefix="0" xfId="0">
      <alignment horizontal="center" vertical="center" wrapText="1"/>
    </xf>
    <xf numFmtId="0" fontId="10" fillId="0" borderId="36" applyAlignment="1" applyProtection="1" pivotButton="0" quotePrefix="0" xfId="0">
      <alignment horizontal="center" vertical="center" wrapText="1"/>
      <protection locked="0" hidden="0"/>
    </xf>
    <xf numFmtId="1" fontId="96" fillId="15" borderId="36" applyAlignment="1" pivotButton="0" quotePrefix="0" xfId="0">
      <alignment horizontal="center" vertical="center" wrapText="1"/>
    </xf>
    <xf numFmtId="1" fontId="96" fillId="16" borderId="2" applyAlignment="1" pivotButton="0" quotePrefix="0" xfId="0">
      <alignment horizontal="center" vertical="center" wrapText="1"/>
    </xf>
    <xf numFmtId="1" fontId="96" fillId="6" borderId="2" applyAlignment="1" pivotButton="0" quotePrefix="0" xfId="0">
      <alignment horizontal="center" vertical="center" wrapText="1"/>
    </xf>
    <xf numFmtId="0" fontId="97" fillId="66" borderId="2" applyAlignment="1" pivotButton="0" quotePrefix="0" xfId="0">
      <alignment horizontal="right" vertical="center"/>
    </xf>
    <xf numFmtId="0" fontId="98" fillId="66" borderId="36" applyAlignment="1" pivotButton="0" quotePrefix="0" xfId="0">
      <alignment horizontal="center" vertical="center" wrapText="1"/>
    </xf>
    <xf numFmtId="0" fontId="98" fillId="66" borderId="2" applyAlignment="1" pivotButton="0" quotePrefix="0" xfId="0">
      <alignment horizontal="center" vertical="center" wrapText="1"/>
    </xf>
    <xf numFmtId="1" fontId="97" fillId="15" borderId="36" applyAlignment="1" pivotButton="0" quotePrefix="0" xfId="0">
      <alignment horizontal="center" vertical="center" wrapText="1"/>
    </xf>
    <xf numFmtId="1" fontId="97" fillId="16" borderId="2" applyAlignment="1" pivotButton="0" quotePrefix="0" xfId="0">
      <alignment horizontal="center" vertical="center" wrapText="1"/>
    </xf>
    <xf numFmtId="1" fontId="97" fillId="6" borderId="2" applyAlignment="1" pivotButton="0" quotePrefix="0" xfId="0">
      <alignment horizontal="center" vertical="center" wrapText="1"/>
    </xf>
    <xf numFmtId="0" fontId="10" fillId="66" borderId="36" applyAlignment="1" pivotButton="0" quotePrefix="0" xfId="0">
      <alignment horizontal="center" vertical="center" wrapText="1"/>
    </xf>
    <xf numFmtId="0" fontId="10" fillId="66" borderId="2" applyAlignment="1" pivotButton="0" quotePrefix="0" xfId="0">
      <alignment horizontal="center" vertical="center" wrapText="1"/>
    </xf>
    <xf numFmtId="0" fontId="99" fillId="69" borderId="0" applyAlignment="1" pivotButton="0" quotePrefix="0" xfId="0">
      <alignment horizontal="center" vertical="center" wrapText="1"/>
    </xf>
    <xf numFmtId="0" fontId="0" fillId="69" borderId="0" pivotButton="0" quotePrefix="0" xfId="0"/>
    <xf numFmtId="0" fontId="100" fillId="69" borderId="38" applyAlignment="1" pivotButton="0" quotePrefix="0" xfId="0">
      <alignment horizontal="center" vertical="center" wrapText="1"/>
    </xf>
    <xf numFmtId="0" fontId="3" fillId="69" borderId="38" applyAlignment="1" pivotButton="0" quotePrefix="0" xfId="0">
      <alignment horizontal="left" vertical="center"/>
    </xf>
    <xf numFmtId="0" fontId="0" fillId="69" borderId="38" pivotButton="0" quotePrefix="0" xfId="0"/>
    <xf numFmtId="0" fontId="101" fillId="0" borderId="0" applyAlignment="1" pivotButton="0" quotePrefix="0" xfId="0">
      <alignment horizontal="left" vertical="center"/>
    </xf>
    <xf numFmtId="0" fontId="283" fillId="153" borderId="39" applyAlignment="1" pivotButton="0" quotePrefix="0" xfId="0">
      <alignment horizontal="center" vertical="center" wrapText="1"/>
    </xf>
    <xf numFmtId="0" fontId="284" fillId="154" borderId="39" applyAlignment="1" pivotButton="0" quotePrefix="0" xfId="0">
      <alignment horizontal="center" vertical="center" wrapText="1"/>
    </xf>
    <xf numFmtId="0" fontId="22" fillId="20" borderId="39" applyAlignment="1" pivotButton="0" quotePrefix="0" xfId="0">
      <alignment horizontal="center" vertical="center" wrapText="1"/>
    </xf>
    <xf numFmtId="0" fontId="102" fillId="15" borderId="39" applyAlignment="1" pivotButton="0" quotePrefix="0" xfId="0">
      <alignment horizontal="center" vertical="center" wrapText="1"/>
    </xf>
    <xf numFmtId="0" fontId="102" fillId="16" borderId="2" applyAlignment="1" pivotButton="0" quotePrefix="0" xfId="0">
      <alignment horizontal="center" vertical="center" wrapText="1"/>
    </xf>
    <xf numFmtId="0" fontId="102" fillId="6" borderId="2" applyAlignment="1" pivotButton="0" quotePrefix="0" xfId="0">
      <alignment horizontal="center" vertical="center" wrapText="1"/>
    </xf>
    <xf numFmtId="0" fontId="24" fillId="20" borderId="39" applyAlignment="1" pivotButton="0" quotePrefix="0" xfId="0">
      <alignment horizontal="center" vertical="center" wrapText="1"/>
    </xf>
    <xf numFmtId="0" fontId="0" fillId="0" borderId="40" pivotButton="0" quotePrefix="0" xfId="0"/>
    <xf numFmtId="0" fontId="25" fillId="11" borderId="39" applyAlignment="1" pivotButton="0" quotePrefix="0" xfId="0">
      <alignment horizontal="center" vertical="center" textRotation="90" wrapText="1"/>
    </xf>
    <xf numFmtId="9" fontId="101" fillId="20" borderId="2" applyAlignment="1" pivotButton="0" quotePrefix="0" xfId="0">
      <alignment horizontal="center" vertical="center" wrapText="1"/>
    </xf>
    <xf numFmtId="0" fontId="10" fillId="0" borderId="39" applyAlignment="1" applyProtection="1" pivotButton="0" quotePrefix="0" xfId="0">
      <alignment horizontal="center" vertical="center" wrapText="1"/>
      <protection locked="0" hidden="0"/>
    </xf>
    <xf numFmtId="1" fontId="101" fillId="15" borderId="39" applyAlignment="1" pivotButton="0" quotePrefix="0" xfId="0">
      <alignment horizontal="center" vertical="center" wrapText="1"/>
    </xf>
    <xf numFmtId="1" fontId="101" fillId="16" borderId="2" applyAlignment="1" pivotButton="0" quotePrefix="0" xfId="0">
      <alignment horizontal="center" vertical="center" wrapText="1"/>
    </xf>
    <xf numFmtId="1" fontId="101" fillId="6" borderId="2" applyAlignment="1" pivotButton="0" quotePrefix="0" xfId="0">
      <alignment horizontal="center" vertical="center" wrapText="1"/>
    </xf>
    <xf numFmtId="0" fontId="102" fillId="20" borderId="2" applyAlignment="1" pivotButton="0" quotePrefix="0" xfId="0">
      <alignment horizontal="right" vertical="center"/>
    </xf>
    <xf numFmtId="0" fontId="103" fillId="20" borderId="39" applyAlignment="1" pivotButton="0" quotePrefix="0" xfId="0">
      <alignment horizontal="center" vertical="center" wrapText="1"/>
    </xf>
    <xf numFmtId="0" fontId="103" fillId="20" borderId="2" applyAlignment="1" pivotButton="0" quotePrefix="0" xfId="0">
      <alignment horizontal="center" vertical="center" wrapText="1"/>
    </xf>
    <xf numFmtId="1" fontId="102" fillId="15" borderId="39" applyAlignment="1" pivotButton="0" quotePrefix="0" xfId="0">
      <alignment horizontal="center" vertical="center" wrapText="1"/>
    </xf>
    <xf numFmtId="1" fontId="102" fillId="16" borderId="2" applyAlignment="1" pivotButton="0" quotePrefix="0" xfId="0">
      <alignment horizontal="center" vertical="center" wrapText="1"/>
    </xf>
    <xf numFmtId="1" fontId="102" fillId="6" borderId="2" applyAlignment="1" pivotButton="0" quotePrefix="0" xfId="0">
      <alignment horizontal="center" vertical="center" wrapText="1"/>
    </xf>
    <xf numFmtId="0" fontId="10" fillId="20" borderId="39" applyAlignment="1" pivotButton="0" quotePrefix="0" xfId="0">
      <alignment horizontal="center" vertical="center" wrapText="1"/>
    </xf>
    <xf numFmtId="0" fontId="73" fillId="49" borderId="0" applyAlignment="1" pivotButton="0" quotePrefix="0" xfId="0">
      <alignment horizontal="center" vertical="center" wrapText="1"/>
    </xf>
    <xf numFmtId="0" fontId="0" fillId="49" borderId="0" pivotButton="0" quotePrefix="0" xfId="0"/>
    <xf numFmtId="0" fontId="74" fillId="49" borderId="30" applyAlignment="1" pivotButton="0" quotePrefix="0" xfId="0">
      <alignment horizontal="center" vertical="center" wrapText="1"/>
    </xf>
    <xf numFmtId="0" fontId="3" fillId="49" borderId="30" applyAlignment="1" pivotButton="0" quotePrefix="0" xfId="0">
      <alignment horizontal="left" vertical="center"/>
    </xf>
    <xf numFmtId="0" fontId="0" fillId="49" borderId="30" pivotButton="0" quotePrefix="0" xfId="0"/>
    <xf numFmtId="0" fontId="60" fillId="0" borderId="0" applyAlignment="1" pivotButton="0" quotePrefix="0" xfId="0">
      <alignment horizontal="left" vertical="center"/>
    </xf>
    <xf numFmtId="0" fontId="21" fillId="50" borderId="2" applyAlignment="1" pivotButton="0" quotePrefix="0" xfId="0">
      <alignment horizontal="center" vertical="center" wrapText="1"/>
    </xf>
    <xf numFmtId="0" fontId="22" fillId="50" borderId="2" applyAlignment="1" pivotButton="0" quotePrefix="0" xfId="0">
      <alignment horizontal="center" vertical="center" wrapText="1"/>
    </xf>
    <xf numFmtId="0" fontId="285" fillId="155" borderId="31" applyAlignment="1" pivotButton="0" quotePrefix="0" xfId="0">
      <alignment horizontal="center" vertical="center" wrapText="1"/>
    </xf>
    <xf numFmtId="0" fontId="273" fillId="147" borderId="31" applyAlignment="1" pivotButton="0" quotePrefix="0" xfId="0">
      <alignment horizontal="center" vertical="center" wrapText="1"/>
    </xf>
    <xf numFmtId="0" fontId="22" fillId="50" borderId="31" applyAlignment="1" pivotButton="0" quotePrefix="0" xfId="0">
      <alignment horizontal="center" vertical="center" wrapText="1"/>
    </xf>
    <xf numFmtId="0" fontId="75" fillId="15" borderId="31" applyAlignment="1" pivotButton="0" quotePrefix="0" xfId="0">
      <alignment horizontal="center" vertical="center" wrapText="1"/>
    </xf>
    <xf numFmtId="0" fontId="75" fillId="6" borderId="2" applyAlignment="1" pivotButton="0" quotePrefix="0" xfId="0">
      <alignment horizontal="center" vertical="center" wrapText="1"/>
    </xf>
    <xf numFmtId="0" fontId="75" fillId="16" borderId="2" applyAlignment="1" pivotButton="0" quotePrefix="0" xfId="0">
      <alignment horizontal="center" vertical="center" wrapText="1"/>
    </xf>
    <xf numFmtId="0" fontId="24" fillId="50" borderId="31" applyAlignment="1" pivotButton="0" quotePrefix="0" xfId="0">
      <alignment horizontal="center" vertical="center" wrapText="1"/>
    </xf>
    <xf numFmtId="0" fontId="24" fillId="50" borderId="2" applyAlignment="1" pivotButton="0" quotePrefix="0" xfId="0">
      <alignment horizontal="center" vertical="center" wrapText="1"/>
    </xf>
    <xf numFmtId="0" fontId="0" fillId="0" borderId="32" pivotButton="0" quotePrefix="0" xfId="0"/>
    <xf numFmtId="0" fontId="25" fillId="11" borderId="31" applyAlignment="1" pivotButton="0" quotePrefix="0" xfId="0">
      <alignment horizontal="center" vertical="center" textRotation="90" wrapText="1"/>
    </xf>
    <xf numFmtId="9" fontId="60" fillId="50" borderId="2" applyAlignment="1" pivotButton="0" quotePrefix="0" xfId="0">
      <alignment horizontal="center" vertical="center" wrapText="1"/>
    </xf>
    <xf numFmtId="0" fontId="10" fillId="0" borderId="31" applyAlignment="1" applyProtection="1" pivotButton="0" quotePrefix="0" xfId="0">
      <alignment horizontal="center" vertical="center" wrapText="1"/>
      <protection locked="0" hidden="0"/>
    </xf>
    <xf numFmtId="1" fontId="60" fillId="15" borderId="31" applyAlignment="1" pivotButton="0" quotePrefix="0" xfId="0">
      <alignment horizontal="center" vertical="center" wrapText="1"/>
    </xf>
    <xf numFmtId="1" fontId="60" fillId="6" borderId="2" applyAlignment="1" pivotButton="0" quotePrefix="0" xfId="0">
      <alignment horizontal="center" vertical="center" wrapText="1"/>
    </xf>
    <xf numFmtId="1" fontId="60" fillId="16" borderId="2" applyAlignment="1" pivotButton="0" quotePrefix="0" xfId="0">
      <alignment horizontal="center" vertical="center" wrapText="1"/>
    </xf>
    <xf numFmtId="0" fontId="75" fillId="50" borderId="2" applyAlignment="1" pivotButton="0" quotePrefix="0" xfId="0">
      <alignment horizontal="right" vertical="center"/>
    </xf>
    <xf numFmtId="0" fontId="76" fillId="50" borderId="31" applyAlignment="1" pivotButton="0" quotePrefix="0" xfId="0">
      <alignment horizontal="center" vertical="center" wrapText="1"/>
    </xf>
    <xf numFmtId="0" fontId="76" fillId="50" borderId="2" applyAlignment="1" pivotButton="0" quotePrefix="0" xfId="0">
      <alignment horizontal="center" vertical="center" wrapText="1"/>
    </xf>
    <xf numFmtId="1" fontId="75" fillId="15" borderId="31" applyAlignment="1" pivotButton="0" quotePrefix="0" xfId="0">
      <alignment horizontal="center" vertical="center" wrapText="1"/>
    </xf>
    <xf numFmtId="1" fontId="75" fillId="6" borderId="2" applyAlignment="1" pivotButton="0" quotePrefix="0" xfId="0">
      <alignment horizontal="center" vertical="center" wrapText="1"/>
    </xf>
    <xf numFmtId="1" fontId="75" fillId="16" borderId="2" applyAlignment="1" pivotButton="0" quotePrefix="0" xfId="0">
      <alignment horizontal="center" vertical="center" wrapText="1"/>
    </xf>
    <xf numFmtId="0" fontId="10" fillId="50" borderId="31" applyAlignment="1" pivotButton="0" quotePrefix="0" xfId="0">
      <alignment horizontal="center" vertical="center" wrapText="1"/>
    </xf>
    <xf numFmtId="0" fontId="10" fillId="50" borderId="2" applyAlignment="1" pivotButton="0" quotePrefix="0" xfId="0">
      <alignment horizontal="center" vertical="center" wrapText="1"/>
    </xf>
    <xf numFmtId="0" fontId="55" fillId="4" borderId="31" applyAlignment="1" applyProtection="1" pivotButton="0" quotePrefix="0" xfId="0">
      <alignment horizontal="center" vertical="bottom" textRotation="90" wrapText="1"/>
      <protection locked="0" hidden="0"/>
    </xf>
    <xf numFmtId="0" fontId="71" fillId="47" borderId="0" applyAlignment="1" pivotButton="0" quotePrefix="0" xfId="0">
      <alignment horizontal="center" vertical="center" wrapText="1"/>
    </xf>
    <xf numFmtId="0" fontId="0" fillId="47" borderId="0" pivotButton="0" quotePrefix="0" xfId="0"/>
    <xf numFmtId="0" fontId="72" fillId="47" borderId="27" applyAlignment="1" pivotButton="0" quotePrefix="0" xfId="0">
      <alignment horizontal="center" vertical="center" wrapText="1"/>
    </xf>
    <xf numFmtId="0" fontId="3" fillId="47" borderId="27" applyAlignment="1" pivotButton="0" quotePrefix="0" xfId="0">
      <alignment horizontal="left" vertical="center"/>
    </xf>
    <xf numFmtId="0" fontId="0" fillId="47" borderId="27" pivotButton="0" quotePrefix="0" xfId="0"/>
    <xf numFmtId="0" fontId="263" fillId="143" borderId="28" applyAlignment="1" pivotButton="0" quotePrefix="0" xfId="0">
      <alignment horizontal="center" vertical="center" wrapText="1"/>
    </xf>
    <xf numFmtId="0" fontId="272" fillId="146" borderId="28" applyAlignment="1" pivotButton="0" quotePrefix="0" xfId="0">
      <alignment horizontal="center" vertical="center" wrapText="1"/>
    </xf>
    <xf numFmtId="0" fontId="22" fillId="33" borderId="28" applyAlignment="1" pivotButton="0" quotePrefix="0" xfId="0">
      <alignment horizontal="center" vertical="center" wrapText="1"/>
    </xf>
    <xf numFmtId="0" fontId="58" fillId="15" borderId="28" applyAlignment="1" pivotButton="0" quotePrefix="0" xfId="0">
      <alignment horizontal="center" vertical="center" wrapText="1"/>
    </xf>
    <xf numFmtId="0" fontId="58" fillId="6" borderId="2" applyAlignment="1" pivotButton="0" quotePrefix="0" xfId="0">
      <alignment horizontal="center" vertical="center" wrapText="1"/>
    </xf>
    <xf numFmtId="0" fontId="58" fillId="16" borderId="2" applyAlignment="1" pivotButton="0" quotePrefix="0" xfId="0">
      <alignment horizontal="center" vertical="center" wrapText="1"/>
    </xf>
    <xf numFmtId="0" fontId="24" fillId="33" borderId="28" applyAlignment="1" pivotButton="0" quotePrefix="0" xfId="0">
      <alignment horizontal="center" vertical="center" wrapText="1"/>
    </xf>
    <xf numFmtId="0" fontId="24" fillId="33" borderId="2" applyAlignment="1" pivotButton="0" quotePrefix="0" xfId="0">
      <alignment horizontal="center" vertical="center" wrapText="1"/>
    </xf>
    <xf numFmtId="0" fontId="0" fillId="0" borderId="29" pivotButton="0" quotePrefix="0" xfId="0"/>
    <xf numFmtId="0" fontId="25" fillId="11" borderId="28" applyAlignment="1" pivotButton="0" quotePrefix="0" xfId="0">
      <alignment horizontal="center" vertical="center" textRotation="90" wrapText="1"/>
    </xf>
    <xf numFmtId="9" fontId="54" fillId="33" borderId="2" applyAlignment="1" pivotButton="0" quotePrefix="0" xfId="0">
      <alignment horizontal="center" vertical="center" wrapText="1"/>
    </xf>
    <xf numFmtId="0" fontId="10" fillId="0" borderId="28" applyAlignment="1" applyProtection="1" pivotButton="0" quotePrefix="0" xfId="0">
      <alignment horizontal="center" vertical="center" wrapText="1"/>
      <protection locked="0" hidden="0"/>
    </xf>
    <xf numFmtId="1" fontId="54" fillId="15" borderId="28" applyAlignment="1" pivotButton="0" quotePrefix="0" xfId="0">
      <alignment horizontal="center" vertical="center" wrapText="1"/>
    </xf>
    <xf numFmtId="1" fontId="54" fillId="6" borderId="2" applyAlignment="1" pivotButton="0" quotePrefix="0" xfId="0">
      <alignment horizontal="center" vertical="center" wrapText="1"/>
    </xf>
    <xf numFmtId="1" fontId="54" fillId="16" borderId="2" applyAlignment="1" pivotButton="0" quotePrefix="0" xfId="0">
      <alignment horizontal="center" vertical="center" wrapText="1"/>
    </xf>
    <xf numFmtId="0" fontId="58" fillId="33" borderId="2" applyAlignment="1" pivotButton="0" quotePrefix="0" xfId="0">
      <alignment horizontal="right" vertical="center"/>
    </xf>
    <xf numFmtId="0" fontId="56" fillId="33" borderId="28" applyAlignment="1" pivotButton="0" quotePrefix="0" xfId="0">
      <alignment horizontal="center" vertical="center" wrapText="1"/>
    </xf>
    <xf numFmtId="1" fontId="58" fillId="15" borderId="28" applyAlignment="1" pivotButton="0" quotePrefix="0" xfId="0">
      <alignment horizontal="center" vertical="center" wrapText="1"/>
    </xf>
    <xf numFmtId="1" fontId="58" fillId="6" borderId="2" applyAlignment="1" pivotButton="0" quotePrefix="0" xfId="0">
      <alignment horizontal="center" vertical="center" wrapText="1"/>
    </xf>
    <xf numFmtId="1" fontId="58" fillId="16" borderId="2" applyAlignment="1" pivotButton="0" quotePrefix="0" xfId="0">
      <alignment horizontal="center" vertical="center" wrapText="1"/>
    </xf>
    <xf numFmtId="0" fontId="10" fillId="33" borderId="28" applyAlignment="1" pivotButton="0" quotePrefix="0" xfId="0">
      <alignment horizontal="center" vertical="center" wrapText="1"/>
    </xf>
    <xf numFmtId="0" fontId="10" fillId="33" borderId="2" applyAlignment="1" pivotButton="0" quotePrefix="0" xfId="0">
      <alignment horizontal="center" vertical="center" wrapText="1"/>
    </xf>
    <xf numFmtId="0" fontId="55" fillId="4" borderId="28" applyAlignment="1" applyProtection="1" pivotButton="0" quotePrefix="0" xfId="0">
      <alignment horizontal="center" vertical="bottom" textRotation="90" wrapText="1"/>
      <protection locked="0" hidden="0"/>
    </xf>
    <xf numFmtId="0" fontId="66" fillId="43" borderId="0" applyAlignment="1" pivotButton="0" quotePrefix="0" xfId="0">
      <alignment horizontal="center" vertical="center" wrapText="1"/>
    </xf>
    <xf numFmtId="0" fontId="0" fillId="43" borderId="0" pivotButton="0" quotePrefix="0" xfId="0"/>
    <xf numFmtId="0" fontId="67" fillId="43" borderId="24" applyAlignment="1" pivotButton="0" quotePrefix="0" xfId="0">
      <alignment horizontal="center" vertical="center" wrapText="1"/>
    </xf>
    <xf numFmtId="0" fontId="3" fillId="43" borderId="24" applyAlignment="1" pivotButton="0" quotePrefix="0" xfId="0">
      <alignment horizontal="left" vertical="center"/>
    </xf>
    <xf numFmtId="0" fontId="0" fillId="43" borderId="24" pivotButton="0" quotePrefix="0" xfId="0"/>
    <xf numFmtId="0" fontId="68" fillId="0" borderId="0" applyAlignment="1" pivotButton="0" quotePrefix="0" xfId="0">
      <alignment horizontal="left" vertical="center"/>
    </xf>
    <xf numFmtId="0" fontId="21" fillId="44" borderId="2" applyAlignment="1" pivotButton="0" quotePrefix="0" xfId="0">
      <alignment horizontal="center" vertical="center" wrapText="1"/>
    </xf>
    <xf numFmtId="0" fontId="22" fillId="44" borderId="2" applyAlignment="1" pivotButton="0" quotePrefix="0" xfId="0">
      <alignment horizontal="center" vertical="center" wrapText="1"/>
    </xf>
    <xf numFmtId="0" fontId="286" fillId="144" borderId="25" applyAlignment="1" pivotButton="0" quotePrefix="0" xfId="0">
      <alignment horizontal="center" vertical="center" wrapText="1"/>
    </xf>
    <xf numFmtId="0" fontId="287" fillId="156" borderId="25" applyAlignment="1" pivotButton="0" quotePrefix="0" xfId="0">
      <alignment horizontal="center" vertical="center" wrapText="1"/>
    </xf>
    <xf numFmtId="0" fontId="22" fillId="44" borderId="25" applyAlignment="1" pivotButton="0" quotePrefix="0" xfId="0">
      <alignment horizontal="center" vertical="center" wrapText="1"/>
    </xf>
    <xf numFmtId="0" fontId="69" fillId="15" borderId="25" applyAlignment="1" pivotButton="0" quotePrefix="0" xfId="0">
      <alignment horizontal="center" vertical="center" wrapText="1"/>
    </xf>
    <xf numFmtId="0" fontId="69" fillId="6" borderId="2" applyAlignment="1" pivotButton="0" quotePrefix="0" xfId="0">
      <alignment horizontal="center" vertical="center" wrapText="1"/>
    </xf>
    <xf numFmtId="0" fontId="69" fillId="16" borderId="2" applyAlignment="1" pivotButton="0" quotePrefix="0" xfId="0">
      <alignment horizontal="center" vertical="center" wrapText="1"/>
    </xf>
    <xf numFmtId="0" fontId="24" fillId="44" borderId="25" applyAlignment="1" pivotButton="0" quotePrefix="0" xfId="0">
      <alignment horizontal="center" vertical="center" wrapText="1"/>
    </xf>
    <xf numFmtId="0" fontId="24" fillId="44" borderId="2" applyAlignment="1" pivotButton="0" quotePrefix="0" xfId="0">
      <alignment horizontal="center" vertical="center" wrapText="1"/>
    </xf>
    <xf numFmtId="0" fontId="0" fillId="0" borderId="26" pivotButton="0" quotePrefix="0" xfId="0"/>
    <xf numFmtId="0" fontId="25" fillId="11" borderId="25" applyAlignment="1" pivotButton="0" quotePrefix="0" xfId="0">
      <alignment horizontal="center" vertical="center" textRotation="90" wrapText="1"/>
    </xf>
    <xf numFmtId="9" fontId="10" fillId="4" borderId="2" applyAlignment="1" applyProtection="1" pivotButton="0" quotePrefix="0" xfId="0">
      <alignment horizontal="center" vertical="center" wrapText="1"/>
      <protection locked="0" hidden="0"/>
    </xf>
    <xf numFmtId="0" fontId="10" fillId="0" borderId="25" applyAlignment="1" applyProtection="1" pivotButton="0" quotePrefix="0" xfId="0">
      <alignment horizontal="center" vertical="center" wrapText="1"/>
      <protection locked="0" hidden="0"/>
    </xf>
    <xf numFmtId="1" fontId="68" fillId="15" borderId="25" applyAlignment="1" pivotButton="0" quotePrefix="0" xfId="0">
      <alignment horizontal="center" vertical="center" wrapText="1"/>
    </xf>
    <xf numFmtId="1" fontId="68" fillId="6" borderId="2" applyAlignment="1" pivotButton="0" quotePrefix="0" xfId="0">
      <alignment horizontal="center" vertical="center" wrapText="1"/>
    </xf>
    <xf numFmtId="1" fontId="68" fillId="16" borderId="2" applyAlignment="1" pivotButton="0" quotePrefix="0" xfId="0">
      <alignment horizontal="center" vertical="center" wrapText="1"/>
    </xf>
    <xf numFmtId="0" fontId="69" fillId="44" borderId="2" applyAlignment="1" pivotButton="0" quotePrefix="0" xfId="0">
      <alignment horizontal="right" vertical="center"/>
    </xf>
    <xf numFmtId="0" fontId="70" fillId="44" borderId="25" applyAlignment="1" pivotButton="0" quotePrefix="0" xfId="0">
      <alignment horizontal="center" vertical="center" wrapText="1"/>
    </xf>
    <xf numFmtId="0" fontId="70" fillId="44" borderId="2" applyAlignment="1" pivotButton="0" quotePrefix="0" xfId="0">
      <alignment horizontal="center" vertical="center" wrapText="1"/>
    </xf>
    <xf numFmtId="1" fontId="69" fillId="15" borderId="25" applyAlignment="1" pivotButton="0" quotePrefix="0" xfId="0">
      <alignment horizontal="center" vertical="center" wrapText="1"/>
    </xf>
    <xf numFmtId="1" fontId="69" fillId="6" borderId="2" applyAlignment="1" pivotButton="0" quotePrefix="0" xfId="0">
      <alignment horizontal="center" vertical="center" wrapText="1"/>
    </xf>
    <xf numFmtId="1" fontId="69" fillId="16" borderId="2" applyAlignment="1" pivotButton="0" quotePrefix="0" xfId="0">
      <alignment horizontal="center" vertical="center" wrapText="1"/>
    </xf>
    <xf numFmtId="0" fontId="10" fillId="44" borderId="25" applyAlignment="1" pivotButton="0" quotePrefix="0" xfId="0">
      <alignment horizontal="center" vertical="center" wrapText="1"/>
    </xf>
    <xf numFmtId="0" fontId="10" fillId="44" borderId="2" applyAlignment="1" pivotButton="0" quotePrefix="0" xfId="0">
      <alignment horizontal="center" vertical="center" wrapText="1"/>
    </xf>
    <xf numFmtId="0" fontId="38" fillId="23" borderId="0" applyAlignment="1" pivotButton="0" quotePrefix="0" xfId="0">
      <alignment horizontal="center" vertical="center" wrapText="1"/>
    </xf>
    <xf numFmtId="0" fontId="0" fillId="23" borderId="0" pivotButton="0" quotePrefix="0" xfId="0"/>
    <xf numFmtId="0" fontId="39" fillId="23" borderId="12" applyAlignment="1" pivotButton="0" quotePrefix="0" xfId="0">
      <alignment horizontal="center" vertical="center" wrapText="1"/>
    </xf>
    <xf numFmtId="0" fontId="3" fillId="23" borderId="12" applyAlignment="1" pivotButton="0" quotePrefix="0" xfId="0">
      <alignment horizontal="left" vertical="center"/>
    </xf>
    <xf numFmtId="0" fontId="0" fillId="23" borderId="12" pivotButton="0" quotePrefix="0" xfId="0"/>
    <xf numFmtId="0" fontId="40" fillId="0" borderId="0" applyAlignment="1" pivotButton="0" quotePrefix="0" xfId="0">
      <alignment horizontal="left" vertical="center"/>
    </xf>
    <xf numFmtId="0" fontId="21" fillId="4" borderId="2" applyAlignment="1" pivotButton="0" quotePrefix="0" xfId="0">
      <alignment horizontal="center" vertical="center" wrapText="1"/>
    </xf>
    <xf numFmtId="0" fontId="22" fillId="4" borderId="2" applyAlignment="1" pivotButton="0" quotePrefix="0" xfId="0">
      <alignment horizontal="center" vertical="center" wrapText="1"/>
    </xf>
    <xf numFmtId="0" fontId="288" fillId="134" borderId="13" applyAlignment="1" pivotButton="0" quotePrefix="0" xfId="0">
      <alignment horizontal="center" vertical="center" wrapText="1"/>
    </xf>
    <xf numFmtId="0" fontId="289" fillId="157" borderId="13" applyAlignment="1" pivotButton="0" quotePrefix="0" xfId="0">
      <alignment horizontal="center" vertical="center" wrapText="1"/>
    </xf>
    <xf numFmtId="0" fontId="22" fillId="4" borderId="13" applyAlignment="1" pivotButton="0" quotePrefix="0" xfId="0">
      <alignment horizontal="center" vertical="center" wrapText="1"/>
    </xf>
    <xf numFmtId="0" fontId="41" fillId="15" borderId="13" applyAlignment="1" pivotButton="0" quotePrefix="0" xfId="0">
      <alignment horizontal="center" vertical="center" wrapText="1"/>
    </xf>
    <xf numFmtId="0" fontId="41" fillId="6" borderId="2" applyAlignment="1" pivotButton="0" quotePrefix="0" xfId="0">
      <alignment horizontal="center" vertical="center" wrapText="1"/>
    </xf>
    <xf numFmtId="0" fontId="41" fillId="26" borderId="2" applyAlignment="1" pivotButton="0" quotePrefix="0" xfId="0">
      <alignment horizontal="center" vertical="center" wrapText="1"/>
    </xf>
    <xf numFmtId="0" fontId="24" fillId="4" borderId="13" applyAlignment="1" pivotButton="0" quotePrefix="0" xfId="0">
      <alignment horizontal="center" vertical="center" wrapText="1"/>
    </xf>
    <xf numFmtId="0" fontId="24" fillId="4" borderId="2" applyAlignment="1" pivotButton="0" quotePrefix="0" xfId="0">
      <alignment horizontal="center" vertical="center" wrapText="1"/>
    </xf>
    <xf numFmtId="0" fontId="0" fillId="0" borderId="14" pivotButton="0" quotePrefix="0" xfId="0"/>
    <xf numFmtId="0" fontId="25" fillId="11" borderId="13" applyAlignment="1" pivotButton="0" quotePrefix="0" xfId="0">
      <alignment horizontal="center" vertical="center" textRotation="90" wrapText="1"/>
    </xf>
    <xf numFmtId="3" fontId="10" fillId="4" borderId="2" applyAlignment="1" applyProtection="1" pivotButton="0" quotePrefix="0" xfId="0">
      <alignment horizontal="center" vertical="center" wrapText="1"/>
      <protection locked="0" hidden="0"/>
    </xf>
    <xf numFmtId="3" fontId="10" fillId="0" borderId="13" applyAlignment="1" applyProtection="1" pivotButton="0" quotePrefix="0" xfId="0">
      <alignment horizontal="center" vertical="center" wrapText="1"/>
      <protection locked="0" hidden="0"/>
    </xf>
    <xf numFmtId="3" fontId="10" fillId="0" borderId="2" applyAlignment="1" applyProtection="1" pivotButton="0" quotePrefix="0" xfId="0">
      <alignment horizontal="center" vertical="center" wrapText="1"/>
      <protection locked="0" hidden="0"/>
    </xf>
    <xf numFmtId="3" fontId="40" fillId="15" borderId="13" applyAlignment="1" pivotButton="0" quotePrefix="0" xfId="0">
      <alignment horizontal="center" vertical="center" wrapText="1"/>
    </xf>
    <xf numFmtId="3" fontId="40" fillId="6" borderId="2" applyAlignment="1" pivotButton="0" quotePrefix="0" xfId="0">
      <alignment horizontal="center" vertical="center" wrapText="1"/>
    </xf>
    <xf numFmtId="3" fontId="40" fillId="26" borderId="2" applyAlignment="1" pivotButton="0" quotePrefix="0" xfId="0">
      <alignment horizontal="center" vertical="center" wrapText="1"/>
    </xf>
    <xf numFmtId="0" fontId="41" fillId="4" borderId="2" applyAlignment="1" pivotButton="0" quotePrefix="0" xfId="0">
      <alignment horizontal="right" vertical="center"/>
    </xf>
    <xf numFmtId="3" fontId="42" fillId="4" borderId="13" applyAlignment="1" pivotButton="0" quotePrefix="0" xfId="0">
      <alignment horizontal="center" vertical="center" wrapText="1"/>
    </xf>
    <xf numFmtId="3" fontId="42" fillId="4" borderId="2" applyAlignment="1" pivotButton="0" quotePrefix="0" xfId="0">
      <alignment horizontal="center" vertical="center" wrapText="1"/>
    </xf>
    <xf numFmtId="3" fontId="41" fillId="15" borderId="13" applyAlignment="1" pivotButton="0" quotePrefix="0" xfId="0">
      <alignment horizontal="center" vertical="center" wrapText="1"/>
    </xf>
    <xf numFmtId="3" fontId="41" fillId="6" borderId="2" applyAlignment="1" pivotButton="0" quotePrefix="0" xfId="0">
      <alignment horizontal="center" vertical="center" wrapText="1"/>
    </xf>
    <xf numFmtId="3" fontId="41" fillId="26" borderId="2" applyAlignment="1" pivotButton="0" quotePrefix="0" xfId="0">
      <alignment horizontal="center" vertical="center" wrapText="1"/>
    </xf>
    <xf numFmtId="0" fontId="10" fillId="4" borderId="13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 wrapText="1"/>
    </xf>
    <xf numFmtId="3" fontId="40" fillId="4" borderId="2" applyAlignment="1" pivotButton="0" quotePrefix="0" xfId="0">
      <alignment horizontal="center" vertical="center" wrapText="1"/>
    </xf>
    <xf numFmtId="0" fontId="290" fillId="158" borderId="2" applyAlignment="1" pivotButton="0" quotePrefix="0" xfId="0">
      <alignment horizontal="center" vertical="center" wrapText="1"/>
    </xf>
    <xf numFmtId="0" fontId="10" fillId="0" borderId="2" applyAlignment="1" applyProtection="1" pivotButton="0" quotePrefix="0" xfId="0">
      <alignment horizontal="left" vertical="center"/>
      <protection locked="0" hidden="0"/>
    </xf>
    <xf numFmtId="0" fontId="43" fillId="16" borderId="2" applyAlignment="1" pivotButton="0" quotePrefix="0" xfId="0">
      <alignment horizontal="right"/>
    </xf>
    <xf numFmtId="3" fontId="43" fillId="16" borderId="2" applyAlignment="1" pivotButton="0" quotePrefix="0" xfId="0">
      <alignment horizontal="center" vertical="center" wrapText="1"/>
    </xf>
    <xf numFmtId="0" fontId="288" fillId="134" borderId="2" applyAlignment="1" pivotButton="0" quotePrefix="0" xfId="0">
      <alignment horizontal="center" vertical="center" wrapText="1"/>
    </xf>
    <xf numFmtId="0" fontId="43" fillId="15" borderId="2" applyAlignment="1" pivotButton="0" quotePrefix="0" xfId="0">
      <alignment horizontal="center" vertical="center" wrapText="1"/>
    </xf>
    <xf numFmtId="0" fontId="43" fillId="6" borderId="2" applyAlignment="1" pivotButton="0" quotePrefix="0" xfId="0">
      <alignment horizontal="center" vertical="center" wrapText="1"/>
    </xf>
    <xf numFmtId="0" fontId="43" fillId="26" borderId="2" applyAlignment="1" pivotButton="0" quotePrefix="0" xfId="0">
      <alignment horizontal="center" vertical="center" wrapText="1"/>
    </xf>
    <xf numFmtId="0" fontId="40" fillId="4" borderId="2" applyAlignment="1" pivotButton="0" quotePrefix="0" xfId="0">
      <alignment horizontal="center" vertical="center" wrapText="1"/>
    </xf>
    <xf numFmtId="3" fontId="7" fillId="15" borderId="2" applyAlignment="1" pivotButton="0" quotePrefix="0" xfId="0">
      <alignment horizontal="center" vertical="center" wrapText="1"/>
    </xf>
    <xf numFmtId="3" fontId="7" fillId="6" borderId="2" applyAlignment="1" pivotButton="0" quotePrefix="0" xfId="0">
      <alignment horizontal="center" vertical="center" wrapText="1"/>
    </xf>
    <xf numFmtId="0" fontId="43" fillId="4" borderId="2" applyAlignment="1" pivotButton="0" quotePrefix="0" xfId="0">
      <alignment horizontal="right"/>
    </xf>
    <xf numFmtId="3" fontId="43" fillId="26" borderId="2" applyAlignment="1" pivotButton="0" quotePrefix="0" xfId="0">
      <alignment horizontal="center" vertical="center" wrapText="1"/>
    </xf>
    <xf numFmtId="0" fontId="52" fillId="136" borderId="0" applyAlignment="1" pivotButton="0" quotePrefix="0" xfId="0">
      <alignment horizontal="center" vertical="center" wrapText="1"/>
    </xf>
    <xf numFmtId="0" fontId="89" fillId="0" borderId="0" applyAlignment="1" pivotButton="0" quotePrefix="0" xfId="0">
      <alignment horizontal="left" vertical="center"/>
    </xf>
    <xf numFmtId="0" fontId="226" fillId="136" borderId="0" applyAlignment="1" pivotButton="0" quotePrefix="0" xfId="0">
      <alignment horizontal="center" vertical="center" wrapText="1"/>
    </xf>
    <xf numFmtId="0" fontId="291" fillId="136" borderId="0" applyAlignment="1" pivotButton="0" quotePrefix="0" xfId="0">
      <alignment horizontal="center" vertical="center" wrapText="1"/>
    </xf>
    <xf numFmtId="0" fontId="226" fillId="136" borderId="2" applyAlignment="1" pivotButton="0" quotePrefix="0" xfId="0">
      <alignment horizontal="center" vertical="center" wrapText="1"/>
    </xf>
    <xf numFmtId="0" fontId="90" fillId="4" borderId="2" applyAlignment="1" applyProtection="1" pivotButton="0" quotePrefix="0" xfId="0">
      <alignment horizontal="center" vertical="center" wrapText="1"/>
      <protection locked="0" hidden="0"/>
    </xf>
    <xf numFmtId="0" fontId="59" fillId="33" borderId="2" applyAlignment="1" pivotButton="0" quotePrefix="0" xfId="0">
      <alignment horizontal="left" vertical="center"/>
    </xf>
    <xf numFmtId="0" fontId="226" fillId="136" borderId="0" applyAlignment="1" pivotButton="0" quotePrefix="0" xfId="0">
      <alignment horizontal="left" vertical="center"/>
    </xf>
    <xf numFmtId="0" fontId="0" fillId="136" borderId="0" pivotButton="0" quotePrefix="0" xfId="0"/>
    <xf numFmtId="0" fontId="58" fillId="33" borderId="2" applyAlignment="1" pivotButton="0" quotePrefix="0" xfId="0">
      <alignment horizontal="left" vertical="center"/>
    </xf>
    <xf numFmtId="0" fontId="21" fillId="0" borderId="2" applyAlignment="1" pivotButton="0" quotePrefix="0" xfId="0">
      <alignment horizontal="left" vertical="center"/>
    </xf>
    <xf numFmtId="0" fontId="214" fillId="119" borderId="0" applyAlignment="1" pivotButton="0" quotePrefix="0" xfId="0">
      <alignment horizontal="left" vertical="center"/>
    </xf>
    <xf numFmtId="0" fontId="59" fillId="33" borderId="0" applyAlignment="1" pivotButton="0" quotePrefix="0" xfId="0">
      <alignment horizontal="center" vertical="center" wrapText="1"/>
    </xf>
    <xf numFmtId="0" fontId="58" fillId="10" borderId="2" applyAlignment="1" pivotButton="0" quotePrefix="0" xfId="0">
      <alignment horizontal="left" vertical="center"/>
    </xf>
    <xf numFmtId="166" fontId="7" fillId="0" borderId="2" applyAlignment="1" pivotButton="0" quotePrefix="0" xfId="0">
      <alignment horizontal="center" vertical="center" wrapText="1"/>
    </xf>
    <xf numFmtId="0" fontId="58" fillId="6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 wrapText="1"/>
    </xf>
    <xf numFmtId="0" fontId="226" fillId="124" borderId="0" applyAlignment="1" pivotButton="0" quotePrefix="0" xfId="0">
      <alignment horizontal="left" vertical="center"/>
    </xf>
    <xf numFmtId="0" fontId="0" fillId="124" borderId="0" pivotButton="0" quotePrefix="0" xfId="0"/>
    <xf numFmtId="0" fontId="58" fillId="53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center" vertical="center" wrapText="1"/>
    </xf>
    <xf numFmtId="0" fontId="292" fillId="131" borderId="0" applyAlignment="1" pivotButton="0" quotePrefix="0" xfId="0">
      <alignment horizontal="left" vertical="center"/>
    </xf>
    <xf numFmtId="0" fontId="0" fillId="131" borderId="0" pivotButton="0" quotePrefix="0" xfId="0"/>
    <xf numFmtId="0" fontId="84" fillId="64" borderId="2" applyAlignment="1" pivotButton="0" quotePrefix="0" xfId="0">
      <alignment horizontal="center" vertical="center" wrapText="1"/>
    </xf>
    <xf numFmtId="0" fontId="58" fillId="29" borderId="2" applyAlignment="1" pivotButton="0" quotePrefix="0" xfId="0">
      <alignment horizontal="left" vertical="center"/>
    </xf>
    <xf numFmtId="2" fontId="10" fillId="0" borderId="2" applyAlignment="1" pivotButton="0" quotePrefix="0" xfId="0">
      <alignment horizontal="center" vertical="center" wrapText="1"/>
    </xf>
    <xf numFmtId="0" fontId="267" fillId="144" borderId="0" applyAlignment="1" pivotButton="0" quotePrefix="0" xfId="0">
      <alignment horizontal="left" vertical="center"/>
    </xf>
    <xf numFmtId="0" fontId="0" fillId="144" borderId="0" pivotButton="0" quotePrefix="0" xfId="0"/>
    <xf numFmtId="0" fontId="69" fillId="55" borderId="2" applyAlignment="1" pivotButton="0" quotePrefix="0" xfId="0">
      <alignment horizontal="center" vertical="center" wrapText="1"/>
    </xf>
    <xf numFmtId="0" fontId="58" fillId="44" borderId="2" applyAlignment="1" pivotButton="0" quotePrefix="0" xfId="0">
      <alignment horizontal="left" vertical="center"/>
    </xf>
    <xf numFmtId="0" fontId="58" fillId="16" borderId="2" applyAlignment="1" pivotButton="0" quotePrefix="0" xfId="0">
      <alignment horizontal="left" vertical="center"/>
    </xf>
    <xf numFmtId="3" fontId="7" fillId="0" borderId="2" applyAlignment="1" pivotButton="0" quotePrefix="0" xfId="0">
      <alignment horizontal="center" vertical="center" wrapText="1"/>
    </xf>
    <xf numFmtId="0" fontId="205" fillId="116" borderId="0" applyAlignment="1" pivotButton="0" quotePrefix="0" xfId="0">
      <alignment horizontal="left" vertical="center"/>
    </xf>
    <xf numFmtId="0" fontId="0" fillId="116" borderId="0" pivotButton="0" quotePrefix="0" xfId="0"/>
    <xf numFmtId="0" fontId="58" fillId="3" borderId="2" applyAlignment="1" pivotButton="0" quotePrefix="0" xfId="0">
      <alignment horizontal="left" vertical="center"/>
    </xf>
    <xf numFmtId="0" fontId="57" fillId="0" borderId="2" applyAlignment="1" pivotButton="0" quotePrefix="0" xfId="0">
      <alignment horizontal="left" vertical="top" wrapText="1"/>
    </xf>
    <xf numFmtId="0" fontId="57" fillId="0" borderId="0" applyAlignment="1" pivotButton="0" quotePrefix="0" xfId="0">
      <alignment horizontal="center" vertical="center" wrapText="1"/>
    </xf>
    <xf numFmtId="0" fontId="93" fillId="0" borderId="0" applyAlignment="1" pivotButton="0" quotePrefix="0" xfId="0">
      <alignment horizontal="center" vertical="center" wrapText="1"/>
    </xf>
    <xf numFmtId="0" fontId="228" fillId="0" borderId="0" applyAlignment="1" pivotButton="0" quotePrefix="0" xfId="0">
      <alignment horizontal="left" vertical="center"/>
    </xf>
    <xf numFmtId="0" fontId="228" fillId="62" borderId="2" applyAlignment="1" pivotButton="0" quotePrefix="0" xfId="0">
      <alignment horizontal="left" vertical="center" wrapText="1"/>
    </xf>
    <xf numFmtId="0" fontId="229" fillId="0" borderId="0" applyAlignment="1" pivotButton="0" quotePrefix="0" xfId="0">
      <alignment horizontal="left" vertical="center"/>
    </xf>
    <xf numFmtId="0" fontId="293" fillId="137" borderId="0" applyAlignment="1" pivotButton="0" quotePrefix="0" xfId="0">
      <alignment horizontal="left" vertical="center"/>
    </xf>
    <xf numFmtId="0" fontId="294" fillId="137" borderId="0" applyAlignment="1" pivotButton="0" quotePrefix="0" xfId="0">
      <alignment horizontal="right" vertical="center"/>
    </xf>
    <xf numFmtId="0" fontId="104" fillId="0" borderId="0" applyAlignment="1" pivotButton="0" quotePrefix="0" xfId="0">
      <alignment horizontal="left" vertical="center"/>
    </xf>
    <xf numFmtId="0" fontId="295" fillId="137" borderId="0" applyAlignment="1" pivotButton="0" quotePrefix="0" xfId="0">
      <alignment horizontal="left" vertical="center"/>
    </xf>
    <xf numFmtId="0" fontId="64" fillId="40" borderId="2" applyAlignment="1" pivotButton="0" quotePrefix="0" xfId="0">
      <alignment horizontal="left" vertical="center"/>
    </xf>
    <xf numFmtId="0" fontId="108" fillId="0" borderId="2" applyAlignment="1" pivotButton="0" quotePrefix="0" xfId="0">
      <alignment horizontal="left" vertical="center"/>
    </xf>
    <xf numFmtId="0" fontId="64" fillId="40" borderId="2" applyAlignment="1" pivotButton="0" quotePrefix="0" xfId="0">
      <alignment horizontal="center" vertical="center" wrapText="1"/>
    </xf>
    <xf numFmtId="0" fontId="108" fillId="0" borderId="2" applyAlignment="1" pivotButton="0" quotePrefix="0" xfId="0">
      <alignment horizontal="center" vertical="center" wrapText="1"/>
    </xf>
    <xf numFmtId="0" fontId="296" fillId="137" borderId="2" applyAlignment="1" pivotButton="0" quotePrefix="0" xfId="0">
      <alignment horizontal="center" vertical="center" wrapText="1"/>
    </xf>
    <xf numFmtId="0" fontId="104" fillId="4" borderId="2" applyAlignment="1" applyProtection="1" pivotButton="0" quotePrefix="0" xfId="0">
      <alignment horizontal="left" vertical="center"/>
      <protection locked="0" hidden="0"/>
    </xf>
    <xf numFmtId="0" fontId="64" fillId="37" borderId="2" applyAlignment="1" pivotButton="0" quotePrefix="0" xfId="0">
      <alignment horizontal="center" vertical="center" wrapText="1"/>
    </xf>
    <xf numFmtId="0" fontId="97" fillId="66" borderId="2" applyAlignment="1" pivotButton="0" quotePrefix="0" xfId="0">
      <alignment horizontal="center" vertical="center" wrapText="1"/>
    </xf>
    <xf numFmtId="0" fontId="31" fillId="3" borderId="2" applyAlignment="1" pivotButton="0" quotePrefix="0" xfId="0">
      <alignment horizontal="center" vertical="center" wrapText="1"/>
    </xf>
    <xf numFmtId="0" fontId="6" fillId="4" borderId="2" applyAlignment="1" applyProtection="1" pivotButton="0" quotePrefix="0" xfId="0">
      <alignment horizontal="left" vertical="top" wrapText="1"/>
      <protection locked="0" hidden="0"/>
    </xf>
    <xf numFmtId="0" fontId="21" fillId="0" borderId="2" applyAlignment="1" pivotButton="0" quotePrefix="0" xfId="0">
      <alignment horizontal="center" vertical="center" wrapText="1"/>
    </xf>
    <xf numFmtId="0" fontId="0" fillId="0" borderId="42" pivotButton="0" quotePrefix="0" xfId="0"/>
    <xf numFmtId="0" fontId="36" fillId="20" borderId="2" applyAlignment="1" pivotButton="0" quotePrefix="0" xfId="0">
      <alignment horizontal="center" vertical="center" wrapText="1"/>
    </xf>
    <xf numFmtId="0" fontId="102" fillId="72" borderId="2" applyAlignment="1" pivotButton="0" quotePrefix="0" xfId="0">
      <alignment horizontal="center" vertical="center" wrapText="1"/>
    </xf>
    <xf numFmtId="0" fontId="75" fillId="50" borderId="2" applyAlignment="1" pivotButton="0" quotePrefix="0" xfId="0">
      <alignment horizontal="center" vertical="center" wrapText="1"/>
    </xf>
    <xf numFmtId="0" fontId="41" fillId="4" borderId="2" applyAlignment="1" pivotButton="0" quotePrefix="0" xfId="0">
      <alignment horizontal="center" vertical="center" wrapText="1"/>
    </xf>
    <xf numFmtId="0" fontId="0" fillId="0" borderId="43" pivotButton="0" quotePrefix="0" xfId="0"/>
    <xf numFmtId="0" fontId="10" fillId="0" borderId="2" applyAlignment="1" pivotButton="0" quotePrefix="0" xfId="0">
      <alignment horizontal="left" vertical="top" wrapText="1"/>
    </xf>
    <xf numFmtId="0" fontId="109" fillId="0" borderId="0" applyAlignment="1" pivotButton="0" quotePrefix="0" xfId="0">
      <alignment horizontal="left" vertical="center"/>
    </xf>
    <xf numFmtId="0" fontId="105" fillId="40" borderId="0" applyAlignment="1" pivotButton="0" quotePrefix="0" xfId="0">
      <alignment horizontal="center" vertical="center" wrapText="1"/>
    </xf>
    <xf numFmtId="0" fontId="110" fillId="0" borderId="0" applyAlignment="1" pivotButton="0" quotePrefix="0" xfId="0">
      <alignment horizontal="left" vertical="center"/>
    </xf>
    <xf numFmtId="0" fontId="111" fillId="73" borderId="0" applyAlignment="1" pivotButton="0" quotePrefix="0" xfId="0">
      <alignment horizontal="center" vertical="center" wrapText="1"/>
    </xf>
    <xf numFmtId="0" fontId="0" fillId="73" borderId="0" pivotButton="0" quotePrefix="0" xfId="0"/>
    <xf numFmtId="0" fontId="112" fillId="73" borderId="44" applyAlignment="1" pivotButton="0" quotePrefix="0" xfId="0">
      <alignment horizontal="center" vertical="center" wrapText="1"/>
    </xf>
    <xf numFmtId="0" fontId="3" fillId="73" borderId="44" applyAlignment="1" pivotButton="0" quotePrefix="0" xfId="0">
      <alignment horizontal="left" vertical="center"/>
    </xf>
    <xf numFmtId="0" fontId="0" fillId="73" borderId="44" pivotButton="0" quotePrefix="0" xfId="0"/>
    <xf numFmtId="0" fontId="113" fillId="0" borderId="0" applyAlignment="1" pivotButton="0" quotePrefix="0" xfId="0">
      <alignment horizontal="left" vertical="center"/>
    </xf>
    <xf numFmtId="0" fontId="21" fillId="74" borderId="2" applyAlignment="1" pivotButton="0" quotePrefix="0" xfId="0">
      <alignment horizontal="center" vertical="center" wrapText="1"/>
    </xf>
    <xf numFmtId="0" fontId="297" fillId="132" borderId="2" applyAlignment="1" pivotButton="0" quotePrefix="0" xfId="0">
      <alignment horizontal="center" vertical="center" wrapText="1"/>
    </xf>
    <xf numFmtId="0" fontId="298" fillId="147" borderId="2" applyAlignment="1" pivotButton="0" quotePrefix="0" xfId="0">
      <alignment horizontal="center" vertical="center" wrapText="1"/>
    </xf>
    <xf numFmtId="0" fontId="111" fillId="132" borderId="0" applyAlignment="1" pivotButton="0" quotePrefix="0" xfId="0">
      <alignment horizontal="center" vertical="center" wrapText="1"/>
    </xf>
    <xf numFmtId="0" fontId="114" fillId="0" borderId="0" applyAlignment="1" pivotButton="0" quotePrefix="0" xfId="0">
      <alignment horizontal="left" vertical="center"/>
    </xf>
    <xf numFmtId="0" fontId="299" fillId="132" borderId="0" applyAlignment="1" pivotButton="0" quotePrefix="0" xfId="0">
      <alignment horizontal="center" vertical="center" wrapText="1"/>
    </xf>
    <xf numFmtId="0" fontId="300" fillId="132" borderId="0" applyAlignment="1" pivotButton="0" quotePrefix="0" xfId="0">
      <alignment horizontal="center" vertical="center" wrapText="1"/>
    </xf>
    <xf numFmtId="0" fontId="299" fillId="132" borderId="2" applyAlignment="1" pivotButton="0" quotePrefix="0" xfId="0">
      <alignment horizontal="center" vertical="center" wrapText="1"/>
    </xf>
    <xf numFmtId="0" fontId="115" fillId="4" borderId="2" applyAlignment="1" applyProtection="1" pivotButton="0" quotePrefix="0" xfId="0">
      <alignment horizontal="center" vertical="center" wrapText="1"/>
      <protection locked="0" hidden="0"/>
    </xf>
    <xf numFmtId="0" fontId="113" fillId="74" borderId="2" applyAlignment="1" pivotButton="0" quotePrefix="0" xfId="0">
      <alignment horizontal="left" vertical="center"/>
    </xf>
    <xf numFmtId="0" fontId="299" fillId="132" borderId="0" applyAlignment="1" pivotButton="0" quotePrefix="0" xfId="0">
      <alignment horizontal="left" vertical="center"/>
    </xf>
    <xf numFmtId="0" fontId="75" fillId="74" borderId="2" applyAlignment="1" pivotButton="0" quotePrefix="0" xfId="0">
      <alignment horizontal="left" vertical="center"/>
    </xf>
    <xf numFmtId="0" fontId="10" fillId="0" borderId="2" applyAlignment="1" pivotButton="0" quotePrefix="0" xfId="0">
      <alignment horizontal="left" vertical="center" wrapText="1"/>
    </xf>
    <xf numFmtId="0" fontId="113" fillId="74" borderId="0" applyAlignment="1" pivotButton="0" quotePrefix="0" xfId="0">
      <alignment horizontal="center" vertical="center" wrapText="1"/>
    </xf>
    <xf numFmtId="0" fontId="116" fillId="11" borderId="2" applyAlignment="1" pivotButton="0" quotePrefix="0" xfId="0">
      <alignment horizontal="center" vertical="center" wrapText="1"/>
    </xf>
    <xf numFmtId="0" fontId="117" fillId="76" borderId="0" applyAlignment="1" pivotButton="0" quotePrefix="0" xfId="0">
      <alignment horizontal="center" vertical="center" wrapText="1"/>
    </xf>
    <xf numFmtId="0" fontId="0" fillId="76" borderId="0" pivotButton="0" quotePrefix="0" xfId="0"/>
    <xf numFmtId="0" fontId="118" fillId="76" borderId="45" applyAlignment="1" pivotButton="0" quotePrefix="0" xfId="0">
      <alignment horizontal="center" vertical="center" wrapText="1"/>
    </xf>
    <xf numFmtId="0" fontId="3" fillId="76" borderId="45" applyAlignment="1" pivotButton="0" quotePrefix="0" xfId="0">
      <alignment horizontal="left" vertical="center"/>
    </xf>
    <xf numFmtId="0" fontId="0" fillId="76" borderId="45" pivotButton="0" quotePrefix="0" xfId="0"/>
    <xf numFmtId="0" fontId="209" fillId="118" borderId="2" applyAlignment="1" pivotButton="0" quotePrefix="0" xfId="0">
      <alignment horizontal="center" vertical="center" wrapText="1"/>
    </xf>
    <xf numFmtId="0" fontId="48" fillId="12" borderId="2" applyAlignment="1" pivotButton="0" quotePrefix="0" xfId="0">
      <alignment horizontal="left" vertical="center" wrapText="1"/>
    </xf>
    <xf numFmtId="0" fontId="22" fillId="4" borderId="2" applyAlignment="1" applyProtection="1" pivotButton="0" quotePrefix="0" xfId="0">
      <alignment horizontal="center" vertical="center" wrapText="1"/>
      <protection locked="0" hidden="0"/>
    </xf>
    <xf numFmtId="0" fontId="0" fillId="0" borderId="48" pivotButton="0" quotePrefix="0" xfId="0"/>
    <xf numFmtId="0" fontId="60" fillId="15" borderId="2" applyAlignment="1" pivotButton="0" quotePrefix="0" xfId="0">
      <alignment horizontal="center" vertical="center" wrapText="1"/>
    </xf>
    <xf numFmtId="0" fontId="40" fillId="16" borderId="2" applyAlignment="1" pivotButton="0" quotePrefix="0" xfId="0">
      <alignment horizontal="center" vertical="center" wrapText="1"/>
    </xf>
    <xf numFmtId="9" fontId="40" fillId="16" borderId="2" applyAlignment="1" pivotButton="0" quotePrefix="0" xfId="0">
      <alignment horizontal="center" vertical="center" wrapText="1"/>
    </xf>
    <xf numFmtId="0" fontId="20" fillId="36" borderId="2" applyAlignment="1" pivotButton="0" quotePrefix="0" xfId="0">
      <alignment horizontal="center" vertical="center" wrapText="1"/>
    </xf>
    <xf numFmtId="9" fontId="20" fillId="36" borderId="2" applyAlignment="1" pivotButton="0" quotePrefix="0" xfId="0">
      <alignment horizontal="center" vertical="center" wrapText="1"/>
    </xf>
    <xf numFmtId="0" fontId="66" fillId="139" borderId="0" applyAlignment="1" pivotButton="0" quotePrefix="0" xfId="0">
      <alignment horizontal="center" vertical="center" wrapText="1"/>
    </xf>
    <xf numFmtId="0" fontId="66" fillId="139" borderId="0" applyAlignment="1" pivotButton="0" quotePrefix="0" xfId="0">
      <alignment horizontal="left" vertical="center"/>
    </xf>
    <xf numFmtId="0" fontId="0" fillId="139" borderId="0" pivotButton="0" quotePrefix="0" xfId="0"/>
    <xf numFmtId="0" fontId="134" fillId="0" borderId="0" applyAlignment="1" pivotButton="0" quotePrefix="0" xfId="0">
      <alignment horizontal="left" vertical="center"/>
    </xf>
    <xf numFmtId="0" fontId="301" fillId="139" borderId="0" applyAlignment="1" pivotButton="0" quotePrefix="0" xfId="0">
      <alignment horizontal="left" vertical="center"/>
    </xf>
    <xf numFmtId="0" fontId="267" fillId="139" borderId="2" applyAlignment="1" pivotButton="0" quotePrefix="0" xfId="0">
      <alignment horizontal="center" vertical="center" wrapText="1"/>
    </xf>
    <xf numFmtId="0" fontId="131" fillId="4" borderId="2" applyAlignment="1" applyProtection="1" pivotButton="0" quotePrefix="0" xfId="0">
      <alignment horizontal="center" vertical="center" wrapText="1"/>
      <protection locked="0" hidden="0"/>
    </xf>
    <xf numFmtId="0" fontId="57" fillId="44" borderId="2" applyAlignment="1" pivotButton="0" quotePrefix="0" xfId="0">
      <alignment horizontal="center" vertical="center" wrapText="1"/>
    </xf>
    <xf numFmtId="0" fontId="286" fillId="139" borderId="2" applyAlignment="1" pivotButton="0" quotePrefix="0" xfId="0">
      <alignment horizontal="center" vertical="center" wrapText="1"/>
    </xf>
    <xf numFmtId="0" fontId="287" fillId="156" borderId="188" applyAlignment="1" pivotButton="0" quotePrefix="0" xfId="0">
      <alignment horizontal="center" vertical="center" wrapText="1"/>
    </xf>
    <xf numFmtId="0" fontId="69" fillId="15" borderId="188" applyAlignment="1" pivotButton="0" quotePrefix="0" xfId="0">
      <alignment horizontal="center" vertical="center" wrapText="1"/>
    </xf>
    <xf numFmtId="0" fontId="0" fillId="0" borderId="189" pivotButton="0" quotePrefix="0" xfId="0"/>
    <xf numFmtId="3" fontId="7" fillId="15" borderId="188" applyAlignment="1" pivotButton="0" quotePrefix="0" xfId="0">
      <alignment horizontal="center" vertical="center" wrapText="1"/>
    </xf>
    <xf numFmtId="3" fontId="7" fillId="16" borderId="2" applyAlignment="1" pivotButton="0" quotePrefix="0" xfId="0">
      <alignment horizontal="center" vertical="center" wrapText="1"/>
    </xf>
    <xf numFmtId="3" fontId="187" fillId="0" borderId="2" applyAlignment="1" pivotButton="0" quotePrefix="0" xfId="0">
      <alignment horizontal="center" vertical="center" wrapText="1"/>
    </xf>
    <xf numFmtId="3" fontId="187" fillId="15" borderId="188" applyAlignment="1" pivotButton="0" quotePrefix="0" xfId="0">
      <alignment horizontal="center" vertical="center" wrapText="1"/>
    </xf>
    <xf numFmtId="3" fontId="187" fillId="16" borderId="2" applyAlignment="1" pivotButton="0" quotePrefix="0" xfId="0">
      <alignment horizontal="center" vertical="center" wrapText="1"/>
    </xf>
    <xf numFmtId="3" fontId="187" fillId="6" borderId="2" applyAlignment="1" pivotButton="0" quotePrefix="0" xfId="0">
      <alignment horizontal="center" vertical="center" wrapText="1"/>
    </xf>
    <xf numFmtId="3" fontId="187" fillId="44" borderId="2" applyAlignment="1" pivotButton="0" quotePrefix="0" xfId="0">
      <alignment horizontal="center" vertical="center" wrapText="1"/>
    </xf>
    <xf numFmtId="3" fontId="187" fillId="44" borderId="2" applyAlignment="1" pivotButton="0" quotePrefix="0" xfId="0">
      <alignment horizontal="center" vertical="bottom" textRotation="90" wrapText="1"/>
    </xf>
    <xf numFmtId="0" fontId="128" fillId="81" borderId="0" applyAlignment="1" pivotButton="0" quotePrefix="0" xfId="0">
      <alignment horizontal="center" vertical="center" wrapText="1"/>
    </xf>
    <xf numFmtId="0" fontId="0" fillId="81" borderId="0" pivotButton="0" quotePrefix="0" xfId="0"/>
    <xf numFmtId="0" fontId="129" fillId="81" borderId="50" applyAlignment="1" pivotButton="0" quotePrefix="0" xfId="0">
      <alignment horizontal="center" vertical="center" wrapText="1"/>
    </xf>
    <xf numFmtId="0" fontId="3" fillId="81" borderId="50" applyAlignment="1" pivotButton="0" quotePrefix="0" xfId="0">
      <alignment horizontal="left" vertical="center"/>
    </xf>
    <xf numFmtId="0" fontId="0" fillId="81" borderId="50" pivotButton="0" quotePrefix="0" xfId="0"/>
    <xf numFmtId="0" fontId="130" fillId="0" borderId="0" applyAlignment="1" pivotButton="0" quotePrefix="0" xfId="0">
      <alignment horizontal="left" vertical="center"/>
    </xf>
    <xf numFmtId="0" fontId="63" fillId="40" borderId="2" applyAlignment="1" pivotButton="0" quotePrefix="0" xfId="0">
      <alignment horizontal="left" vertical="center"/>
    </xf>
    <xf numFmtId="1" fontId="21" fillId="4" borderId="2" applyAlignment="1" applyProtection="1" pivotButton="0" quotePrefix="0" xfId="0">
      <alignment horizontal="center" vertical="center" wrapText="1"/>
      <protection locked="0" hidden="0"/>
    </xf>
    <xf numFmtId="2" fontId="105" fillId="40" borderId="2" applyAlignment="1" pivotButton="0" quotePrefix="0" xfId="0">
      <alignment horizontal="center" vertical="center" wrapText="1"/>
    </xf>
    <xf numFmtId="2" fontId="21" fillId="4" borderId="2" applyAlignment="1" applyProtection="1" pivotButton="0" quotePrefix="0" xfId="0">
      <alignment horizontal="center" vertical="center" wrapText="1"/>
      <protection locked="0" hidden="0"/>
    </xf>
    <xf numFmtId="0" fontId="302" fillId="159" borderId="2" applyAlignment="1" pivotButton="0" quotePrefix="0" xfId="0">
      <alignment horizontal="center" vertical="center" wrapText="1"/>
    </xf>
    <xf numFmtId="0" fontId="63" fillId="11" borderId="2" applyAlignment="1" pivotButton="0" quotePrefix="0" xfId="0">
      <alignment horizontal="left" vertical="center"/>
    </xf>
    <xf numFmtId="0" fontId="10" fillId="11" borderId="2" applyAlignment="1" pivotButton="0" quotePrefix="0" xfId="0">
      <alignment horizontal="center" vertical="center" wrapText="1"/>
    </xf>
    <xf numFmtId="3" fontId="10" fillId="11" borderId="2" applyAlignment="1" pivotButton="0" quotePrefix="0" xfId="0">
      <alignment horizontal="center" vertical="center" wrapText="1"/>
    </xf>
    <xf numFmtId="9" fontId="10" fillId="11" borderId="2" applyAlignment="1" pivotButton="0" quotePrefix="0" xfId="0">
      <alignment horizontal="center" vertical="center" wrapText="1"/>
    </xf>
    <xf numFmtId="4" fontId="7" fillId="11" borderId="2" applyAlignment="1" pivotButton="0" quotePrefix="0" xfId="0">
      <alignment horizontal="center" vertical="center" wrapText="1"/>
    </xf>
    <xf numFmtId="4" fontId="10" fillId="11" borderId="2" applyAlignment="1" pivotButton="0" quotePrefix="0" xfId="0">
      <alignment horizontal="center" vertical="center" wrapText="1"/>
    </xf>
    <xf numFmtId="0" fontId="63" fillId="83" borderId="2" applyAlignment="1" pivotButton="0" quotePrefix="0" xfId="0">
      <alignment horizontal="left" vertical="center"/>
    </xf>
    <xf numFmtId="0" fontId="10" fillId="83" borderId="2" applyAlignment="1" pivotButton="0" quotePrefix="0" xfId="0">
      <alignment horizontal="center" vertical="center" wrapText="1"/>
    </xf>
    <xf numFmtId="3" fontId="10" fillId="83" borderId="2" applyAlignment="1" pivotButton="0" quotePrefix="0" xfId="0">
      <alignment horizontal="center" vertical="center" wrapText="1"/>
    </xf>
    <xf numFmtId="9" fontId="10" fillId="83" borderId="2" applyAlignment="1" pivotButton="0" quotePrefix="0" xfId="0">
      <alignment horizontal="center" vertical="center" wrapText="1"/>
    </xf>
    <xf numFmtId="4" fontId="7" fillId="83" borderId="2" applyAlignment="1" pivotButton="0" quotePrefix="0" xfId="0">
      <alignment horizontal="center" vertical="center" wrapText="1"/>
    </xf>
    <xf numFmtId="4" fontId="10" fillId="83" borderId="2" applyAlignment="1" pivotButton="0" quotePrefix="0" xfId="0">
      <alignment horizontal="center" vertical="center" wrapText="1"/>
    </xf>
    <xf numFmtId="0" fontId="280" fillId="150" borderId="2" applyAlignment="1" pivotButton="0" quotePrefix="0" xfId="0">
      <alignment horizontal="left" vertical="center"/>
    </xf>
    <xf numFmtId="3" fontId="280" fillId="150" borderId="2" applyAlignment="1" pivotButton="0" quotePrefix="0" xfId="0">
      <alignment horizontal="center" vertical="center" wrapText="1"/>
    </xf>
    <xf numFmtId="0" fontId="280" fillId="150" borderId="2" applyAlignment="1" pivotButton="0" quotePrefix="0" xfId="0">
      <alignment horizontal="center" vertical="center" wrapText="1"/>
    </xf>
    <xf numFmtId="9" fontId="280" fillId="150" borderId="2" applyAlignment="1" pivotButton="0" quotePrefix="0" xfId="0">
      <alignment horizontal="center" vertical="center" wrapText="1"/>
    </xf>
    <xf numFmtId="4" fontId="280" fillId="150" borderId="2" applyAlignment="1" pivotButton="0" quotePrefix="0" xfId="0">
      <alignment horizontal="center" vertical="center" wrapText="1"/>
    </xf>
    <xf numFmtId="3" fontId="63" fillId="40" borderId="2" applyAlignment="1" pivotButton="0" quotePrefix="0" xfId="0">
      <alignment horizontal="center" vertical="center" wrapText="1"/>
    </xf>
    <xf numFmtId="4" fontId="63" fillId="40" borderId="2" applyAlignment="1" pivotButton="0" quotePrefix="0" xfId="0">
      <alignment horizontal="center" vertical="center" wrapText="1"/>
    </xf>
    <xf numFmtId="0" fontId="66" fillId="84" borderId="0" applyAlignment="1" pivotButton="0" quotePrefix="0" xfId="0">
      <alignment horizontal="center" vertical="center" wrapText="1"/>
    </xf>
    <xf numFmtId="0" fontId="0" fillId="84" borderId="0" pivotButton="0" quotePrefix="0" xfId="0"/>
    <xf numFmtId="0" fontId="67" fillId="84" borderId="51" applyAlignment="1" pivotButton="0" quotePrefix="0" xfId="0">
      <alignment horizontal="center" vertical="center" wrapText="1"/>
    </xf>
    <xf numFmtId="0" fontId="3" fillId="84" borderId="51" applyAlignment="1" pivotButton="0" quotePrefix="0" xfId="0">
      <alignment horizontal="left" vertical="center"/>
    </xf>
    <xf numFmtId="0" fontId="0" fillId="84" borderId="51" pivotButton="0" quotePrefix="0" xfId="0"/>
    <xf numFmtId="0" fontId="131" fillId="0" borderId="0" applyAlignment="1" pivotButton="0" quotePrefix="0" xfId="0">
      <alignment horizontal="left" vertical="center"/>
    </xf>
    <xf numFmtId="0" fontId="303" fillId="138" borderId="2" applyAlignment="1" pivotButton="0" quotePrefix="0" xfId="0">
      <alignment horizontal="center" vertical="center" wrapText="1"/>
    </xf>
    <xf numFmtId="0" fontId="132" fillId="44" borderId="2" applyAlignment="1" pivotButton="0" quotePrefix="0" xfId="0">
      <alignment horizontal="left" vertical="center"/>
    </xf>
    <xf numFmtId="3" fontId="6" fillId="4" borderId="2" applyAlignment="1" applyProtection="1" pivotButton="0" quotePrefix="0" xfId="0">
      <alignment horizontal="center" vertical="center" wrapText="1"/>
      <protection locked="0" hidden="0"/>
    </xf>
    <xf numFmtId="3" fontId="21" fillId="44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center" vertical="center" wrapText="1"/>
    </xf>
    <xf numFmtId="0" fontId="287" fillId="156" borderId="2" applyAlignment="1" pivotButton="0" quotePrefix="0" xfId="0">
      <alignment horizontal="left" vertical="center"/>
    </xf>
    <xf numFmtId="3" fontId="287" fillId="156" borderId="2" applyAlignment="1" pivotButton="0" quotePrefix="0" xfId="0">
      <alignment horizontal="center" vertical="center" wrapText="1"/>
    </xf>
    <xf numFmtId="0" fontId="304" fillId="156" borderId="2" applyAlignment="1" pivotButton="0" quotePrefix="0" xfId="0">
      <alignment horizontal="center" vertical="center" wrapText="1"/>
    </xf>
    <xf numFmtId="0" fontId="133" fillId="44" borderId="0" applyAlignment="1" pivotButton="0" quotePrefix="0" xfId="0">
      <alignment horizontal="center" vertical="center" wrapText="1"/>
    </xf>
    <xf numFmtId="0" fontId="305" fillId="138" borderId="0" applyAlignment="1" pivotButton="0" quotePrefix="0" xfId="0">
      <alignment horizontal="center" vertical="center" wrapText="1"/>
    </xf>
    <xf numFmtId="0" fontId="306" fillId="138" borderId="0" applyAlignment="1" pivotButton="0" quotePrefix="0" xfId="0">
      <alignment horizontal="center" vertical="center" wrapText="1"/>
    </xf>
    <xf numFmtId="0" fontId="301" fillId="138" borderId="0" applyAlignment="1" pivotButton="0" quotePrefix="0" xfId="0">
      <alignment horizontal="center" vertical="center" wrapText="1"/>
    </xf>
    <xf numFmtId="0" fontId="267" fillId="138" borderId="2" applyAlignment="1" pivotButton="0" quotePrefix="0" xfId="0">
      <alignment horizontal="center" vertical="center" wrapText="1"/>
    </xf>
    <xf numFmtId="0" fontId="131" fillId="4" borderId="2" applyAlignment="1" applyProtection="1" pivotButton="0" quotePrefix="0" xfId="0">
      <alignment horizontal="left" vertical="center"/>
      <protection locked="0" hidden="0"/>
    </xf>
    <xf numFmtId="0" fontId="307" fillId="156" borderId="2" applyAlignment="1" pivotButton="0" quotePrefix="0" xfId="0">
      <alignment horizontal="center" vertical="center" wrapText="1"/>
    </xf>
    <xf numFmtId="3" fontId="7" fillId="44" borderId="2" applyAlignment="1" pivotButton="0" quotePrefix="0" xfId="0">
      <alignment horizontal="center" vertical="center" wrapText="1"/>
    </xf>
    <xf numFmtId="0" fontId="132" fillId="44" borderId="0" applyAlignment="1" pivotButton="0" quotePrefix="0" xfId="0">
      <alignment horizontal="center" vertical="center" wrapText="1"/>
    </xf>
    <xf numFmtId="0" fontId="287" fillId="156" borderId="2" applyAlignment="1" pivotButton="0" quotePrefix="0" xfId="0">
      <alignment horizontal="right"/>
    </xf>
    <xf numFmtId="0" fontId="135" fillId="86" borderId="0" applyAlignment="1" pivotButton="0" quotePrefix="0" xfId="0">
      <alignment horizontal="center" vertical="center" wrapText="1"/>
    </xf>
    <xf numFmtId="0" fontId="0" fillId="86" borderId="0" pivotButton="0" quotePrefix="0" xfId="0"/>
    <xf numFmtId="0" fontId="136" fillId="86" borderId="52" applyAlignment="1" pivotButton="0" quotePrefix="0" xfId="0">
      <alignment horizontal="center" vertical="center" wrapText="1"/>
    </xf>
    <xf numFmtId="0" fontId="3" fillId="86" borderId="52" applyAlignment="1" pivotButton="0" quotePrefix="0" xfId="0">
      <alignment horizontal="left" vertical="center"/>
    </xf>
    <xf numFmtId="0" fontId="0" fillId="86" borderId="52" pivotButton="0" quotePrefix="0" xfId="0"/>
    <xf numFmtId="0" fontId="282" fillId="152" borderId="2" applyAlignment="1" pivotButton="0" quotePrefix="0" xfId="0">
      <alignment horizontal="center" vertical="center" wrapText="1"/>
    </xf>
    <xf numFmtId="4" fontId="137" fillId="4" borderId="2" applyAlignment="1" applyProtection="1" pivotButton="0" quotePrefix="0" xfId="0">
      <alignment horizontal="left" vertical="center"/>
      <protection locked="0" hidden="0"/>
    </xf>
    <xf numFmtId="0" fontId="137" fillId="0" borderId="0" applyAlignment="1" pivotButton="0" quotePrefix="0" xfId="0">
      <alignment horizontal="left" vertical="center"/>
    </xf>
    <xf numFmtId="0" fontId="308" fillId="152" borderId="2" applyAlignment="1" pivotButton="0" quotePrefix="0" xfId="0">
      <alignment horizontal="center" vertical="center" wrapText="1"/>
    </xf>
    <xf numFmtId="4" fontId="10" fillId="4" borderId="2" applyAlignment="1" applyProtection="1" pivotButton="0" quotePrefix="0" xfId="0">
      <alignment horizontal="center" vertical="center" wrapText="1"/>
      <protection locked="0" hidden="0"/>
    </xf>
    <xf numFmtId="4" fontId="138" fillId="66" borderId="2" applyAlignment="1" pivotButton="0" quotePrefix="0" xfId="0">
      <alignment horizontal="center" vertical="center" wrapText="1"/>
    </xf>
    <xf numFmtId="0" fontId="138" fillId="66" borderId="2" applyAlignment="1" pivotButton="0" quotePrefix="0" xfId="0">
      <alignment horizontal="left" vertical="center"/>
    </xf>
    <xf numFmtId="4" fontId="10" fillId="0" borderId="2" applyAlignment="1" pivotButton="0" quotePrefix="0" xfId="0">
      <alignment horizontal="center" vertical="center" wrapText="1"/>
    </xf>
    <xf numFmtId="0" fontId="309" fillId="160" borderId="2" applyAlignment="1" pivotButton="0" quotePrefix="0" xfId="0">
      <alignment horizontal="left" vertical="center"/>
    </xf>
    <xf numFmtId="4" fontId="309" fillId="160" borderId="2" applyAlignment="1" pivotButton="0" quotePrefix="0" xfId="0">
      <alignment horizontal="center" vertical="center" wrapText="1"/>
    </xf>
    <xf numFmtId="0" fontId="139" fillId="88" borderId="2" applyAlignment="1" pivotButton="0" quotePrefix="0" xfId="0">
      <alignment horizontal="left" vertical="center"/>
    </xf>
    <xf numFmtId="4" fontId="137" fillId="88" borderId="2" applyAlignment="1" pivotButton="0" quotePrefix="0" xfId="0">
      <alignment horizontal="center" vertical="center" wrapText="1"/>
    </xf>
    <xf numFmtId="0" fontId="140" fillId="66" borderId="2" applyAlignment="1" pivotButton="0" quotePrefix="0" xfId="0">
      <alignment horizontal="left" vertical="center"/>
    </xf>
    <xf numFmtId="0" fontId="243" fillId="119" borderId="53" applyAlignment="1" pivotButton="0" quotePrefix="0" xfId="0">
      <alignment horizontal="center" vertical="center" wrapText="1"/>
    </xf>
    <xf numFmtId="0" fontId="246" fillId="134" borderId="56" applyAlignment="1" pivotButton="0" quotePrefix="0" xfId="0">
      <alignment horizontal="center" vertical="center" wrapText="1"/>
    </xf>
    <xf numFmtId="0" fontId="149" fillId="0" borderId="0" applyAlignment="1" pivotButton="0" quotePrefix="0" xfId="0">
      <alignment horizontal="left" vertical="center"/>
    </xf>
    <xf numFmtId="0" fontId="141" fillId="11" borderId="54" applyAlignment="1" pivotButton="0" quotePrefix="0" xfId="0">
      <alignment horizontal="center" vertical="center" wrapText="1"/>
    </xf>
    <xf numFmtId="0" fontId="145" fillId="11" borderId="57" applyAlignment="1" pivotButton="0" quotePrefix="0" xfId="0">
      <alignment horizontal="center" vertical="center" wrapText="1"/>
    </xf>
    <xf numFmtId="0" fontId="142" fillId="11" borderId="54" applyAlignment="1" pivotButton="0" quotePrefix="0" xfId="0">
      <alignment horizontal="center" vertical="center" wrapText="1"/>
    </xf>
    <xf numFmtId="0" fontId="142" fillId="11" borderId="57" applyAlignment="1" pivotButton="0" quotePrefix="0" xfId="0">
      <alignment horizontal="center" vertical="center" wrapText="1"/>
    </xf>
    <xf numFmtId="0" fontId="143" fillId="11" borderId="54" applyAlignment="1" pivotButton="0" quotePrefix="0" xfId="0">
      <alignment horizontal="center" vertical="center" wrapText="1"/>
    </xf>
    <xf numFmtId="0" fontId="143" fillId="11" borderId="57" applyAlignment="1" pivotButton="0" quotePrefix="0" xfId="0">
      <alignment horizontal="center" vertical="center" wrapText="1"/>
    </xf>
    <xf numFmtId="0" fontId="144" fillId="119" borderId="55" applyAlignment="1" pivotButton="0" quotePrefix="0" xfId="0">
      <alignment horizontal="center" vertical="center" wrapText="1"/>
    </xf>
    <xf numFmtId="0" fontId="144" fillId="134" borderId="58" applyAlignment="1" pivotButton="0" quotePrefix="0" xfId="0">
      <alignment horizontal="center" vertical="center" wrapText="1"/>
    </xf>
    <xf numFmtId="0" fontId="310" fillId="155" borderId="59" applyAlignment="1" pivotButton="0" quotePrefix="0" xfId="0">
      <alignment horizontal="center" vertical="center" wrapText="1"/>
    </xf>
    <xf numFmtId="0" fontId="311" fillId="116" borderId="62" applyAlignment="1" pivotButton="0" quotePrefix="0" xfId="0">
      <alignment horizontal="center" vertical="center" wrapText="1"/>
    </xf>
    <xf numFmtId="0" fontId="146" fillId="11" borderId="60" applyAlignment="1" pivotButton="0" quotePrefix="0" xfId="0">
      <alignment horizontal="center" vertical="center" wrapText="1"/>
    </xf>
    <xf numFmtId="0" fontId="147" fillId="11" borderId="63" applyAlignment="1" pivotButton="0" quotePrefix="0" xfId="0">
      <alignment horizontal="center" vertical="center" wrapText="1"/>
    </xf>
    <xf numFmtId="0" fontId="43" fillId="16" borderId="0" applyAlignment="1" pivotButton="0" quotePrefix="0" xfId="0">
      <alignment horizontal="center" vertical="center" wrapText="1"/>
    </xf>
    <xf numFmtId="0" fontId="142" fillId="11" borderId="60" applyAlignment="1" pivotButton="0" quotePrefix="0" xfId="0">
      <alignment horizontal="center" vertical="center" wrapText="1"/>
    </xf>
    <xf numFmtId="0" fontId="142" fillId="11" borderId="63" applyAlignment="1" pivotButton="0" quotePrefix="0" xfId="0">
      <alignment horizontal="center" vertical="center" wrapText="1"/>
    </xf>
    <xf numFmtId="0" fontId="143" fillId="11" borderId="60" applyAlignment="1" pivotButton="0" quotePrefix="0" xfId="0">
      <alignment horizontal="center" vertical="center" wrapText="1"/>
    </xf>
    <xf numFmtId="0" fontId="143" fillId="11" borderId="63" applyAlignment="1" pivotButton="0" quotePrefix="0" xfId="0">
      <alignment horizontal="center" vertical="center" wrapText="1"/>
    </xf>
    <xf numFmtId="0" fontId="144" fillId="155" borderId="61" applyAlignment="1" pivotButton="0" quotePrefix="0" xfId="0">
      <alignment horizontal="center" vertical="center" wrapText="1"/>
    </xf>
    <xf numFmtId="0" fontId="144" fillId="116" borderId="64" applyAlignment="1" pivotButton="0" quotePrefix="0" xfId="0">
      <alignment horizontal="center" vertical="center" wrapText="1"/>
    </xf>
    <xf numFmtId="0" fontId="312" fillId="124" borderId="65" applyAlignment="1" pivotButton="0" quotePrefix="0" xfId="0">
      <alignment horizontal="center" vertical="center" wrapText="1"/>
    </xf>
    <xf numFmtId="0" fontId="148" fillId="11" borderId="66" applyAlignment="1" pivotButton="0" quotePrefix="0" xfId="0">
      <alignment horizontal="center" vertical="center" wrapText="1"/>
    </xf>
    <xf numFmtId="0" fontId="142" fillId="11" borderId="66" applyAlignment="1" pivotButton="0" quotePrefix="0" xfId="0">
      <alignment horizontal="center" vertical="center" wrapText="1"/>
    </xf>
    <xf numFmtId="0" fontId="143" fillId="11" borderId="66" applyAlignment="1" pivotButton="0" quotePrefix="0" xfId="0">
      <alignment horizontal="center" vertical="center" wrapText="1"/>
    </xf>
    <xf numFmtId="0" fontId="144" fillId="124" borderId="67" applyAlignment="1" pivotButton="0" quotePrefix="0" xfId="0">
      <alignment horizontal="center" vertical="center" wrapText="1"/>
    </xf>
    <xf numFmtId="0" fontId="243" fillId="119" borderId="68" applyAlignment="1" pivotButton="0" quotePrefix="0" xfId="0">
      <alignment horizontal="center" vertical="center" wrapText="1"/>
    </xf>
    <xf numFmtId="0" fontId="0" fillId="0" borderId="69" pivotButton="0" quotePrefix="0" xfId="0"/>
    <xf numFmtId="0" fontId="0" fillId="0" borderId="70" pivotButton="0" quotePrefix="0" xfId="0"/>
    <xf numFmtId="0" fontId="246" fillId="134" borderId="77" applyAlignment="1" pivotButton="0" quotePrefix="0" xfId="0">
      <alignment horizontal="center" vertical="center" wrapText="1"/>
    </xf>
    <xf numFmtId="0" fontId="0" fillId="0" borderId="78" pivotButton="0" quotePrefix="0" xfId="0"/>
    <xf numFmtId="0" fontId="0" fillId="0" borderId="79" pivotButton="0" quotePrefix="0" xfId="0"/>
    <xf numFmtId="0" fontId="150" fillId="11" borderId="71" applyAlignment="1" pivotButton="0" quotePrefix="0" xfId="0">
      <alignment horizontal="center" vertical="center" wrapText="1"/>
    </xf>
    <xf numFmtId="0" fontId="0" fillId="0" borderId="72" pivotButton="0" quotePrefix="0" xfId="0"/>
    <xf numFmtId="0" fontId="0" fillId="0" borderId="73" pivotButton="0" quotePrefix="0" xfId="0"/>
    <xf numFmtId="0" fontId="155" fillId="11" borderId="80" applyAlignment="1" pivotButton="0" quotePrefix="0" xfId="0">
      <alignment horizontal="center" vertical="center" wrapText="1"/>
    </xf>
    <xf numFmtId="0" fontId="0" fillId="0" borderId="81" pivotButton="0" quotePrefix="0" xfId="0"/>
    <xf numFmtId="0" fontId="151" fillId="12" borderId="71" applyAlignment="1" pivotButton="0" quotePrefix="0" xfId="0">
      <alignment horizontal="center" vertical="center" wrapText="1"/>
    </xf>
    <xf numFmtId="0" fontId="152" fillId="11" borderId="72" applyAlignment="1" pivotButton="0" quotePrefix="0" xfId="0">
      <alignment horizontal="left" vertical="center"/>
    </xf>
    <xf numFmtId="0" fontId="22" fillId="11" borderId="73" applyAlignment="1" pivotButton="0" quotePrefix="0" xfId="0">
      <alignment horizontal="left" vertical="center"/>
    </xf>
    <xf numFmtId="0" fontId="151" fillId="12" borderId="80" applyAlignment="1" pivotButton="0" quotePrefix="0" xfId="0">
      <alignment horizontal="center" vertical="center" wrapText="1"/>
    </xf>
    <xf numFmtId="0" fontId="22" fillId="11" borderId="81" applyAlignment="1" pivotButton="0" quotePrefix="0" xfId="0">
      <alignment horizontal="left" vertical="center"/>
    </xf>
    <xf numFmtId="0" fontId="0" fillId="0" borderId="71" pivotButton="0" quotePrefix="0" xfId="0"/>
    <xf numFmtId="0" fontId="57" fillId="11" borderId="73" applyAlignment="1" pivotButton="0" quotePrefix="0" xfId="0">
      <alignment horizontal="left" vertical="center"/>
    </xf>
    <xf numFmtId="0" fontId="0" fillId="0" borderId="80" pivotButton="0" quotePrefix="0" xfId="0"/>
    <xf numFmtId="0" fontId="57" fillId="11" borderId="81" applyAlignment="1" pivotButton="0" quotePrefix="0" xfId="0">
      <alignment horizontal="left" vertical="center"/>
    </xf>
    <xf numFmtId="0" fontId="153" fillId="11" borderId="73" applyAlignment="1" pivotButton="0" quotePrefix="0" xfId="0">
      <alignment horizontal="left" vertical="center"/>
    </xf>
    <xf numFmtId="0" fontId="153" fillId="11" borderId="81" applyAlignment="1" pivotButton="0" quotePrefix="0" xfId="0">
      <alignment horizontal="left" vertical="center"/>
    </xf>
    <xf numFmtId="0" fontId="313" fillId="119" borderId="74" applyAlignment="1" pivotButton="0" quotePrefix="0" xfId="0">
      <alignment horizontal="center" vertical="center" wrapText="1"/>
    </xf>
    <xf numFmtId="0" fontId="0" fillId="0" borderId="75" pivotButton="0" quotePrefix="0" xfId="0"/>
    <xf numFmtId="0" fontId="0" fillId="0" borderId="76" pivotButton="0" quotePrefix="0" xfId="0"/>
    <xf numFmtId="0" fontId="314" fillId="134" borderId="82" applyAlignment="1" pivotButton="0" quotePrefix="0" xfId="0">
      <alignment horizontal="center" vertical="center" wrapText="1"/>
    </xf>
    <xf numFmtId="0" fontId="0" fillId="0" borderId="83" pivotButton="0" quotePrefix="0" xfId="0"/>
    <xf numFmtId="0" fontId="0" fillId="0" borderId="84" pivotButton="0" quotePrefix="0" xfId="0"/>
    <xf numFmtId="0" fontId="5" fillId="3" borderId="0" applyAlignment="1" pivotButton="0" quotePrefix="0" xfId="0">
      <alignment horizontal="center" vertical="center" wrapText="1"/>
    </xf>
    <xf numFmtId="0" fontId="310" fillId="155" borderId="85" applyAlignment="1" pivotButton="0" quotePrefix="0" xfId="0">
      <alignment horizontal="center" vertical="center" wrapText="1"/>
    </xf>
    <xf numFmtId="0" fontId="0" fillId="0" borderId="86" pivotButton="0" quotePrefix="0" xfId="0"/>
    <xf numFmtId="0" fontId="0" fillId="0" borderId="87" pivotButton="0" quotePrefix="0" xfId="0"/>
    <xf numFmtId="0" fontId="311" fillId="116" borderId="93" applyAlignment="1" pivotButton="0" quotePrefix="0" xfId="0">
      <alignment horizontal="center" vertical="center" wrapText="1"/>
    </xf>
    <xf numFmtId="0" fontId="0" fillId="0" borderId="94" pivotButton="0" quotePrefix="0" xfId="0"/>
    <xf numFmtId="0" fontId="0" fillId="0" borderId="95" pivotButton="0" quotePrefix="0" xfId="0"/>
    <xf numFmtId="0" fontId="156" fillId="11" borderId="88" applyAlignment="1" pivotButton="0" quotePrefix="0" xfId="0">
      <alignment horizontal="center" vertical="center" wrapText="1"/>
    </xf>
    <xf numFmtId="0" fontId="0" fillId="0" borderId="89" pivotButton="0" quotePrefix="0" xfId="0"/>
    <xf numFmtId="0" fontId="157" fillId="11" borderId="96" applyAlignment="1" pivotButton="0" quotePrefix="0" xfId="0">
      <alignment horizontal="center" vertical="center" wrapText="1"/>
    </xf>
    <xf numFmtId="0" fontId="0" fillId="0" borderId="97" pivotButton="0" quotePrefix="0" xfId="0"/>
    <xf numFmtId="0" fontId="151" fillId="12" borderId="88" applyAlignment="1" pivotButton="0" quotePrefix="0" xfId="0">
      <alignment horizontal="center" vertical="center" wrapText="1"/>
    </xf>
    <xf numFmtId="0" fontId="22" fillId="11" borderId="89" applyAlignment="1" pivotButton="0" quotePrefix="0" xfId="0">
      <alignment horizontal="left" vertical="center"/>
    </xf>
    <xf numFmtId="0" fontId="151" fillId="12" borderId="96" applyAlignment="1" pivotButton="0" quotePrefix="0" xfId="0">
      <alignment horizontal="center" vertical="center" wrapText="1"/>
    </xf>
    <xf numFmtId="0" fontId="22" fillId="11" borderId="97" applyAlignment="1" pivotButton="0" quotePrefix="0" xfId="0">
      <alignment horizontal="left" vertical="center"/>
    </xf>
    <xf numFmtId="0" fontId="0" fillId="0" borderId="88" pivotButton="0" quotePrefix="0" xfId="0"/>
    <xf numFmtId="0" fontId="57" fillId="11" borderId="89" applyAlignment="1" pivotButton="0" quotePrefix="0" xfId="0">
      <alignment horizontal="left" vertical="center"/>
    </xf>
    <xf numFmtId="0" fontId="0" fillId="0" borderId="96" pivotButton="0" quotePrefix="0" xfId="0"/>
    <xf numFmtId="0" fontId="57" fillId="11" borderId="97" applyAlignment="1" pivotButton="0" quotePrefix="0" xfId="0">
      <alignment horizontal="left" vertical="center"/>
    </xf>
    <xf numFmtId="0" fontId="153" fillId="11" borderId="89" applyAlignment="1" pivotButton="0" quotePrefix="0" xfId="0">
      <alignment horizontal="left" vertical="center"/>
    </xf>
    <xf numFmtId="0" fontId="153" fillId="11" borderId="97" applyAlignment="1" pivotButton="0" quotePrefix="0" xfId="0">
      <alignment horizontal="left" vertical="center"/>
    </xf>
    <xf numFmtId="0" fontId="315" fillId="155" borderId="90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2" pivotButton="0" quotePrefix="0" xfId="0"/>
    <xf numFmtId="0" fontId="316" fillId="116" borderId="98" applyAlignment="1" pivotButton="0" quotePrefix="0" xfId="0">
      <alignment horizontal="center" vertical="center" wrapText="1"/>
    </xf>
    <xf numFmtId="0" fontId="0" fillId="0" borderId="99" pivotButton="0" quotePrefix="0" xfId="0"/>
    <xf numFmtId="0" fontId="0" fillId="0" borderId="100" pivotButton="0" quotePrefix="0" xfId="0"/>
    <xf numFmtId="0" fontId="312" fillId="124" borderId="101" applyAlignment="1" pivotButton="0" quotePrefix="0" xfId="0">
      <alignment horizontal="center" vertical="center" wrapText="1"/>
    </xf>
    <xf numFmtId="0" fontId="0" fillId="0" borderId="102" pivotButton="0" quotePrefix="0" xfId="0"/>
    <xf numFmtId="0" fontId="0" fillId="0" borderId="103" pivotButton="0" quotePrefix="0" xfId="0"/>
    <xf numFmtId="0" fontId="158" fillId="11" borderId="104" applyAlignment="1" pivotButton="0" quotePrefix="0" xfId="0">
      <alignment horizontal="center" vertical="center" wrapText="1"/>
    </xf>
    <xf numFmtId="0" fontId="0" fillId="0" borderId="105" pivotButton="0" quotePrefix="0" xfId="0"/>
    <xf numFmtId="0" fontId="151" fillId="12" borderId="104" applyAlignment="1" pivotButton="0" quotePrefix="0" xfId="0">
      <alignment horizontal="center" vertical="center" wrapText="1"/>
    </xf>
    <xf numFmtId="0" fontId="22" fillId="11" borderId="105" applyAlignment="1" pivotButton="0" quotePrefix="0" xfId="0">
      <alignment horizontal="left" vertical="center"/>
    </xf>
    <xf numFmtId="0" fontId="0" fillId="0" borderId="104" pivotButton="0" quotePrefix="0" xfId="0"/>
    <xf numFmtId="0" fontId="57" fillId="11" borderId="105" applyAlignment="1" pivotButton="0" quotePrefix="0" xfId="0">
      <alignment horizontal="left" vertical="center"/>
    </xf>
    <xf numFmtId="0" fontId="153" fillId="11" borderId="105" applyAlignment="1" pivotButton="0" quotePrefix="0" xfId="0">
      <alignment horizontal="left" vertical="center"/>
    </xf>
    <xf numFmtId="0" fontId="317" fillId="124" borderId="106" applyAlignment="1" pivotButton="0" quotePrefix="0" xfId="0">
      <alignment horizontal="center" vertical="center" wrapText="1"/>
    </xf>
    <xf numFmtId="0" fontId="0" fillId="0" borderId="107" pivotButton="0" quotePrefix="0" xfId="0"/>
    <xf numFmtId="0" fontId="0" fillId="0" borderId="108" pivotButton="0" quotePrefix="0" xfId="0"/>
    <xf numFmtId="0" fontId="0" fillId="89" borderId="109" pivotButton="0" quotePrefix="0" xfId="0"/>
    <xf numFmtId="0" fontId="0" fillId="89" borderId="110" pivotButton="0" quotePrefix="0" xfId="0"/>
    <xf numFmtId="0" fontId="0" fillId="89" borderId="111" pivotButton="0" quotePrefix="0" xfId="0"/>
    <xf numFmtId="0" fontId="0" fillId="89" borderId="112" pivotButton="0" quotePrefix="0" xfId="0"/>
    <xf numFmtId="0" fontId="0" fillId="89" borderId="113" pivotButton="0" quotePrefix="0" xfId="0"/>
    <xf numFmtId="0" fontId="0" fillId="89" borderId="114" pivotButton="0" quotePrefix="0" xfId="0"/>
    <xf numFmtId="0" fontId="0" fillId="89" borderId="115" pivotButton="0" quotePrefix="0" xfId="0"/>
    <xf numFmtId="0" fontId="0" fillId="89" borderId="116" pivotButton="0" quotePrefix="0" xfId="0"/>
    <xf numFmtId="0" fontId="0" fillId="89" borderId="117" pivotButton="0" quotePrefix="0" xfId="0"/>
    <xf numFmtId="0" fontId="0" fillId="89" borderId="72" pivotButton="0" quotePrefix="0" xfId="0"/>
    <xf numFmtId="0" fontId="0" fillId="89" borderId="118" pivotButton="0" quotePrefix="0" xfId="0"/>
    <xf numFmtId="0" fontId="318" fillId="158" borderId="2" applyAlignment="1" pivotButton="0" quotePrefix="0" xfId="0">
      <alignment horizontal="center" vertical="center" wrapText="1"/>
    </xf>
    <xf numFmtId="0" fontId="159" fillId="4" borderId="2" applyAlignment="1" applyProtection="1" pivotButton="0" quotePrefix="0" xfId="0">
      <alignment horizontal="left" vertical="center"/>
      <protection locked="0" hidden="0"/>
    </xf>
    <xf numFmtId="0" fontId="160" fillId="89" borderId="125" applyAlignment="1" pivotButton="0" quotePrefix="0" xfId="0">
      <alignment horizontal="center" vertical="center" wrapText="1"/>
    </xf>
    <xf numFmtId="0" fontId="0" fillId="0" borderId="126" pivotButton="0" quotePrefix="0" xfId="0"/>
    <xf numFmtId="0" fontId="143" fillId="89" borderId="125" applyAlignment="1" pivotButton="0" quotePrefix="0" xfId="0">
      <alignment horizontal="center" vertical="center" wrapText="1"/>
    </xf>
    <xf numFmtId="0" fontId="161" fillId="89" borderId="125" applyAlignment="1" pivotButton="0" quotePrefix="0" xfId="0">
      <alignment horizontal="center" vertical="center" wrapText="1"/>
    </xf>
    <xf numFmtId="0" fontId="162" fillId="89" borderId="125" applyAlignment="1" pivotButton="0" quotePrefix="0" xfId="0">
      <alignment horizontal="center" vertical="center" wrapText="1"/>
    </xf>
    <xf numFmtId="0" fontId="163" fillId="89" borderId="125" applyAlignment="1" pivotButton="0" quotePrefix="0" xfId="0">
      <alignment horizontal="center" vertical="center" wrapText="1"/>
    </xf>
    <xf numFmtId="0" fontId="164" fillId="89" borderId="125" applyAlignment="1" pivotButton="0" quotePrefix="0" xfId="0">
      <alignment horizontal="center" vertical="center" wrapText="1"/>
    </xf>
    <xf numFmtId="0" fontId="165" fillId="89" borderId="125" applyAlignment="1" pivotButton="0" quotePrefix="0" xfId="0">
      <alignment horizontal="center" vertical="center" wrapText="1"/>
    </xf>
    <xf numFmtId="0" fontId="166" fillId="89" borderId="125" applyAlignment="1" pivotButton="0" quotePrefix="0" xfId="0">
      <alignment horizontal="center" vertical="center" wrapText="1"/>
    </xf>
    <xf numFmtId="0" fontId="167" fillId="89" borderId="125" applyAlignment="1" pivotButton="0" quotePrefix="0" xfId="0">
      <alignment horizontal="center" vertical="center" wrapText="1"/>
    </xf>
    <xf numFmtId="0" fontId="168" fillId="89" borderId="117" applyAlignment="1" pivotButton="0" quotePrefix="0" xfId="0">
      <alignment horizontal="center" vertical="center" wrapText="1"/>
    </xf>
    <xf numFmtId="0" fontId="168" fillId="89" borderId="118" applyAlignment="1" pivotButton="0" quotePrefix="0" xfId="0">
      <alignment horizontal="center" vertical="center" wrapText="1"/>
    </xf>
    <xf numFmtId="0" fontId="169" fillId="89" borderId="117" applyAlignment="1" pivotButton="0" quotePrefix="0" xfId="0">
      <alignment horizontal="center" vertical="center" wrapText="1"/>
    </xf>
    <xf numFmtId="0" fontId="169" fillId="89" borderId="118" applyAlignment="1" pivotButton="0" quotePrefix="0" xfId="0">
      <alignment horizontal="center" vertical="center" wrapText="1"/>
    </xf>
    <xf numFmtId="0" fontId="0" fillId="89" borderId="119" pivotButton="0" quotePrefix="0" xfId="0"/>
    <xf numFmtId="0" fontId="0" fillId="89" borderId="120" pivotButton="0" quotePrefix="0" xfId="0"/>
    <xf numFmtId="0" fontId="0" fillId="89" borderId="121" pivotButton="0" quotePrefix="0" xfId="0"/>
    <xf numFmtId="0" fontId="0" fillId="89" borderId="122" pivotButton="0" quotePrefix="0" xfId="0"/>
    <xf numFmtId="0" fontId="0" fillId="89" borderId="123" pivotButton="0" quotePrefix="0" xfId="0"/>
    <xf numFmtId="0" fontId="0" fillId="89" borderId="124" pivotButton="0" quotePrefix="0" xfId="0"/>
    <xf numFmtId="0" fontId="170" fillId="0" borderId="0" applyAlignment="1" pivotButton="0" quotePrefix="0" xfId="0">
      <alignment horizontal="left" vertical="center"/>
    </xf>
    <xf numFmtId="0" fontId="319" fillId="161" borderId="127" applyAlignment="1" pivotButton="0" quotePrefix="0" xfId="0">
      <alignment horizontal="center" vertical="center" wrapText="1"/>
    </xf>
    <xf numFmtId="0" fontId="0" fillId="161" borderId="128" pivotButton="0" quotePrefix="0" xfId="0"/>
    <xf numFmtId="0" fontId="320" fillId="115" borderId="133" applyAlignment="1" pivotButton="0" quotePrefix="0" xfId="0">
      <alignment horizontal="center" vertical="center" wrapText="1"/>
    </xf>
    <xf numFmtId="0" fontId="0" fillId="115" borderId="134" pivotButton="0" quotePrefix="0" xfId="0"/>
    <xf numFmtId="0" fontId="277" fillId="121" borderId="139" applyAlignment="1" pivotButton="0" quotePrefix="0" xfId="0">
      <alignment horizontal="center" vertical="center" wrapText="1"/>
    </xf>
    <xf numFmtId="0" fontId="0" fillId="121" borderId="140" pivotButton="0" quotePrefix="0" xfId="0"/>
    <xf numFmtId="0" fontId="286" fillId="144" borderId="145" applyAlignment="1" pivotButton="0" quotePrefix="0" xfId="0">
      <alignment horizontal="center" vertical="center" wrapText="1"/>
    </xf>
    <xf numFmtId="0" fontId="0" fillId="144" borderId="146" pivotButton="0" quotePrefix="0" xfId="0"/>
    <xf numFmtId="0" fontId="171" fillId="11" borderId="129" applyAlignment="1" pivotButton="0" quotePrefix="0" xfId="0">
      <alignment horizontal="left" vertical="center"/>
    </xf>
    <xf numFmtId="0" fontId="171" fillId="11" borderId="130" applyAlignment="1" pivotButton="0" quotePrefix="0" xfId="0">
      <alignment horizontal="left" vertical="center"/>
    </xf>
    <xf numFmtId="0" fontId="171" fillId="11" borderId="135" applyAlignment="1" pivotButton="0" quotePrefix="0" xfId="0">
      <alignment horizontal="left" vertical="center"/>
    </xf>
    <xf numFmtId="0" fontId="171" fillId="11" borderId="136" applyAlignment="1" pivotButton="0" quotePrefix="0" xfId="0">
      <alignment horizontal="left" vertical="center"/>
    </xf>
    <xf numFmtId="0" fontId="171" fillId="11" borderId="141" applyAlignment="1" pivotButton="0" quotePrefix="0" xfId="0">
      <alignment horizontal="left" vertical="center"/>
    </xf>
    <xf numFmtId="0" fontId="171" fillId="11" borderId="142" applyAlignment="1" pivotButton="0" quotePrefix="0" xfId="0">
      <alignment horizontal="left" vertical="center"/>
    </xf>
    <xf numFmtId="0" fontId="171" fillId="11" borderId="147" applyAlignment="1" pivotButton="0" quotePrefix="0" xfId="0">
      <alignment horizontal="left" vertical="center"/>
    </xf>
    <xf numFmtId="0" fontId="171" fillId="11" borderId="148" applyAlignment="1" pivotButton="0" quotePrefix="0" xfId="0">
      <alignment horizontal="left" vertical="center"/>
    </xf>
    <xf numFmtId="0" fontId="172" fillId="11" borderId="131" applyAlignment="1" pivotButton="0" quotePrefix="0" xfId="0">
      <alignment horizontal="left" vertical="center"/>
    </xf>
    <xf numFmtId="0" fontId="0" fillId="0" borderId="132" pivotButton="0" quotePrefix="0" xfId="0"/>
    <xf numFmtId="0" fontId="173" fillId="11" borderId="137" applyAlignment="1" pivotButton="0" quotePrefix="0" xfId="0">
      <alignment horizontal="left" vertical="center"/>
    </xf>
    <xf numFmtId="0" fontId="0" fillId="0" borderId="138" pivotButton="0" quotePrefix="0" xfId="0"/>
    <xf numFmtId="0" fontId="174" fillId="11" borderId="143" applyAlignment="1" pivotButton="0" quotePrefix="0" xfId="0">
      <alignment horizontal="left" vertical="center"/>
    </xf>
    <xf numFmtId="0" fontId="0" fillId="0" borderId="144" pivotButton="0" quotePrefix="0" xfId="0"/>
    <xf numFmtId="0" fontId="175" fillId="11" borderId="149" applyAlignment="1" pivotButton="0" quotePrefix="0" xfId="0">
      <alignment horizontal="left" vertical="center"/>
    </xf>
    <xf numFmtId="0" fontId="0" fillId="0" borderId="150" pivotButton="0" quotePrefix="0" xfId="0"/>
    <xf numFmtId="0" fontId="321" fillId="162" borderId="151" applyAlignment="1" pivotButton="0" quotePrefix="0" xfId="0">
      <alignment horizontal="center" vertical="center" wrapText="1"/>
    </xf>
    <xf numFmtId="0" fontId="0" fillId="162" borderId="152" pivotButton="0" quotePrefix="0" xfId="0"/>
    <xf numFmtId="0" fontId="23" fillId="92" borderId="157" applyAlignment="1" pivotButton="0" quotePrefix="0" xfId="0">
      <alignment horizontal="center" vertical="center" wrapText="1"/>
    </xf>
    <xf numFmtId="0" fontId="0" fillId="92" borderId="158" pivotButton="0" quotePrefix="0" xfId="0"/>
    <xf numFmtId="0" fontId="23" fillId="93" borderId="163" applyAlignment="1" pivotButton="0" quotePrefix="0" xfId="0">
      <alignment horizontal="center" vertical="center" wrapText="1"/>
    </xf>
    <xf numFmtId="0" fontId="0" fillId="93" borderId="164" pivotButton="0" quotePrefix="0" xfId="0"/>
    <xf numFmtId="0" fontId="279" fillId="122" borderId="169" applyAlignment="1" pivotButton="0" quotePrefix="0" xfId="0">
      <alignment horizontal="center" vertical="center" wrapText="1"/>
    </xf>
    <xf numFmtId="0" fontId="0" fillId="122" borderId="170" pivotButton="0" quotePrefix="0" xfId="0"/>
    <xf numFmtId="0" fontId="171" fillId="11" borderId="153" applyAlignment="1" pivotButton="0" quotePrefix="0" xfId="0">
      <alignment horizontal="left" vertical="center"/>
    </xf>
    <xf numFmtId="0" fontId="171" fillId="11" borderId="154" applyAlignment="1" pivotButton="0" quotePrefix="0" xfId="0">
      <alignment horizontal="left" vertical="center"/>
    </xf>
    <xf numFmtId="0" fontId="171" fillId="11" borderId="159" applyAlignment="1" pivotButton="0" quotePrefix="0" xfId="0">
      <alignment horizontal="left" vertical="center"/>
    </xf>
    <xf numFmtId="0" fontId="171" fillId="11" borderId="160" applyAlignment="1" pivotButton="0" quotePrefix="0" xfId="0">
      <alignment horizontal="left" vertical="center"/>
    </xf>
    <xf numFmtId="0" fontId="171" fillId="11" borderId="165" applyAlignment="1" pivotButton="0" quotePrefix="0" xfId="0">
      <alignment horizontal="left" vertical="center"/>
    </xf>
    <xf numFmtId="0" fontId="171" fillId="11" borderId="166" applyAlignment="1" pivotButton="0" quotePrefix="0" xfId="0">
      <alignment horizontal="left" vertical="center"/>
    </xf>
    <xf numFmtId="0" fontId="171" fillId="11" borderId="171" applyAlignment="1" pivotButton="0" quotePrefix="0" xfId="0">
      <alignment horizontal="left" vertical="center"/>
    </xf>
    <xf numFmtId="0" fontId="171" fillId="11" borderId="172" applyAlignment="1" pivotButton="0" quotePrefix="0" xfId="0">
      <alignment horizontal="left" vertical="center"/>
    </xf>
    <xf numFmtId="0" fontId="176" fillId="11" borderId="155" applyAlignment="1" pivotButton="0" quotePrefix="0" xfId="0">
      <alignment horizontal="left" vertical="center"/>
    </xf>
    <xf numFmtId="0" fontId="0" fillId="0" borderId="156" pivotButton="0" quotePrefix="0" xfId="0"/>
    <xf numFmtId="0" fontId="177" fillId="11" borderId="161" applyAlignment="1" pivotButton="0" quotePrefix="0" xfId="0">
      <alignment horizontal="left" vertical="center"/>
    </xf>
    <xf numFmtId="0" fontId="0" fillId="0" borderId="162" pivotButton="0" quotePrefix="0" xfId="0"/>
    <xf numFmtId="0" fontId="178" fillId="11" borderId="167" applyAlignment="1" pivotButton="0" quotePrefix="0" xfId="0">
      <alignment horizontal="left" vertical="center"/>
    </xf>
    <xf numFmtId="0" fontId="0" fillId="0" borderId="168" pivotButton="0" quotePrefix="0" xfId="0"/>
    <xf numFmtId="0" fontId="179" fillId="11" borderId="173" applyAlignment="1" pivotButton="0" quotePrefix="0" xfId="0">
      <alignment horizontal="left" vertical="center"/>
    </xf>
    <xf numFmtId="0" fontId="0" fillId="0" borderId="174" pivotButton="0" quotePrefix="0" xfId="0"/>
    <xf numFmtId="0" fontId="260" fillId="119" borderId="68" applyAlignment="1" pivotButton="0" quotePrefix="0" xfId="0">
      <alignment horizontal="center" vertical="center" wrapText="1"/>
    </xf>
    <xf numFmtId="0" fontId="0" fillId="119" borderId="70" pivotButton="0" quotePrefix="0" xfId="0"/>
    <xf numFmtId="0" fontId="238" fillId="130" borderId="175" applyAlignment="1" pivotButton="0" quotePrefix="0" xfId="0">
      <alignment horizontal="center" vertical="center" wrapText="1"/>
    </xf>
    <xf numFmtId="0" fontId="0" fillId="130" borderId="176" pivotButton="0" quotePrefix="0" xfId="0"/>
    <xf numFmtId="0" fontId="322" fillId="163" borderId="181" applyAlignment="1" pivotButton="0" quotePrefix="0" xfId="0">
      <alignment horizontal="center" vertical="center" wrapText="1"/>
    </xf>
    <xf numFmtId="0" fontId="0" fillId="163" borderId="182" pivotButton="0" quotePrefix="0" xfId="0"/>
    <xf numFmtId="0" fontId="323" fillId="124" borderId="101" applyAlignment="1" pivotButton="0" quotePrefix="0" xfId="0">
      <alignment horizontal="center" vertical="center" wrapText="1"/>
    </xf>
    <xf numFmtId="0" fontId="0" fillId="124" borderId="103" pivotButton="0" quotePrefix="0" xfId="0"/>
    <xf numFmtId="0" fontId="171" fillId="11" borderId="71" applyAlignment="1" pivotButton="0" quotePrefix="0" xfId="0">
      <alignment horizontal="left" vertical="center"/>
    </xf>
    <xf numFmtId="0" fontId="171" fillId="11" borderId="73" applyAlignment="1" pivotButton="0" quotePrefix="0" xfId="0">
      <alignment horizontal="left" vertical="center"/>
    </xf>
    <xf numFmtId="0" fontId="171" fillId="11" borderId="177" applyAlignment="1" pivotButton="0" quotePrefix="0" xfId="0">
      <alignment horizontal="left" vertical="center"/>
    </xf>
    <xf numFmtId="0" fontId="171" fillId="11" borderId="178" applyAlignment="1" pivotButton="0" quotePrefix="0" xfId="0">
      <alignment horizontal="left" vertical="center"/>
    </xf>
    <xf numFmtId="0" fontId="171" fillId="11" borderId="183" applyAlignment="1" pivotButton="0" quotePrefix="0" xfId="0">
      <alignment horizontal="left" vertical="center"/>
    </xf>
    <xf numFmtId="0" fontId="171" fillId="11" borderId="184" applyAlignment="1" pivotButton="0" quotePrefix="0" xfId="0">
      <alignment horizontal="left" vertical="center"/>
    </xf>
    <xf numFmtId="0" fontId="171" fillId="11" borderId="104" applyAlignment="1" pivotButton="0" quotePrefix="0" xfId="0">
      <alignment horizontal="left" vertical="center"/>
    </xf>
    <xf numFmtId="0" fontId="171" fillId="11" borderId="105" applyAlignment="1" pivotButton="0" quotePrefix="0" xfId="0">
      <alignment horizontal="left" vertical="center"/>
    </xf>
    <xf numFmtId="0" fontId="150" fillId="11" borderId="74" applyAlignment="1" pivotButton="0" quotePrefix="0" xfId="0">
      <alignment horizontal="left" vertical="center"/>
    </xf>
    <xf numFmtId="0" fontId="180" fillId="11" borderId="179" applyAlignment="1" pivotButton="0" quotePrefix="0" xfId="0">
      <alignment horizontal="left" vertical="center"/>
    </xf>
    <xf numFmtId="0" fontId="0" fillId="0" borderId="180" pivotButton="0" quotePrefix="0" xfId="0"/>
    <xf numFmtId="0" fontId="181" fillId="11" borderId="185" applyAlignment="1" pivotButton="0" quotePrefix="0" xfId="0">
      <alignment horizontal="left" vertical="center"/>
    </xf>
    <xf numFmtId="0" fontId="0" fillId="0" borderId="186" pivotButton="0" quotePrefix="0" xfId="0"/>
    <xf numFmtId="0" fontId="158" fillId="11" borderId="106" applyAlignment="1" pivotButton="0" quotePrefix="0" xfId="0">
      <alignment horizontal="left" vertical="center"/>
    </xf>
    <xf numFmtId="0" fontId="182" fillId="0" borderId="0" applyAlignment="1" pivotButton="0" quotePrefix="0" xfId="0">
      <alignment horizontal="left" vertical="center"/>
    </xf>
    <xf numFmtId="0" fontId="324" fillId="164" borderId="0" applyAlignment="1" pivotButton="0" quotePrefix="0" xfId="0">
      <alignment horizontal="center" vertical="center" wrapText="1"/>
    </xf>
    <xf numFmtId="0" fontId="167" fillId="0" borderId="0" applyAlignment="1" pivotButton="0" quotePrefix="0" xfId="0">
      <alignment horizontal="left" vertical="center"/>
    </xf>
    <xf numFmtId="0" fontId="8" fillId="164" borderId="0" applyAlignment="1" pivotButton="0" quotePrefix="0" xfId="0">
      <alignment horizontal="center" vertical="center" wrapText="1"/>
    </xf>
    <xf numFmtId="0" fontId="325" fillId="164" borderId="2" applyAlignment="1" pivotButton="0" quotePrefix="0" xfId="0">
      <alignment horizontal="center" vertical="center" wrapText="1"/>
    </xf>
    <xf numFmtId="0" fontId="183" fillId="4" borderId="2" applyAlignment="1" applyProtection="1" pivotButton="0" quotePrefix="0" xfId="0">
      <alignment horizontal="left" vertical="center"/>
      <protection locked="0" hidden="0"/>
    </xf>
    <xf numFmtId="0" fontId="7" fillId="9" borderId="2" applyAlignment="1" pivotButton="0" quotePrefix="0" xfId="0">
      <alignment horizontal="center" vertical="center" wrapText="1"/>
    </xf>
    <xf numFmtId="0" fontId="57" fillId="12" borderId="2" applyAlignment="1" pivotButton="0" quotePrefix="0" xfId="0">
      <alignment horizontal="center" vertical="center" wrapText="1"/>
    </xf>
    <xf numFmtId="0" fontId="10" fillId="12" borderId="2" applyAlignment="1" pivotButton="0" quotePrefix="0" xfId="0">
      <alignment horizontal="center" vertical="center" wrapText="1"/>
    </xf>
    <xf numFmtId="0" fontId="184" fillId="96" borderId="0" applyAlignment="1" pivotButton="0" quotePrefix="0" xfId="0">
      <alignment horizontal="center" vertical="center" wrapText="1"/>
    </xf>
    <xf numFmtId="0" fontId="185" fillId="97" borderId="0" applyAlignment="1" pivotButton="0" quotePrefix="0" xfId="0">
      <alignment horizontal="center" vertical="center" wrapText="1"/>
    </xf>
    <xf numFmtId="0" fontId="0" fillId="97" borderId="0" pivotButton="0" quotePrefix="0" xfId="0"/>
    <xf numFmtId="0" fontId="78" fillId="97" borderId="187" applyAlignment="1" pivotButton="0" quotePrefix="0" xfId="0">
      <alignment horizontal="center" vertical="center" wrapText="1"/>
    </xf>
    <xf numFmtId="0" fontId="3" fillId="97" borderId="187" applyAlignment="1" pivotButton="0" quotePrefix="0" xfId="0">
      <alignment horizontal="left" vertical="center"/>
    </xf>
    <xf numFmtId="0" fontId="0" fillId="97" borderId="187" pivotButton="0" quotePrefix="0" xfId="0"/>
    <xf numFmtId="0" fontId="21" fillId="0" borderId="0" applyAlignment="1" pivotButton="0" quotePrefix="0" xfId="0">
      <alignment horizontal="left" vertical="center"/>
    </xf>
    <xf numFmtId="0" fontId="184" fillId="165" borderId="2" applyAlignment="1" pivotButton="0" quotePrefix="0" xfId="0">
      <alignment horizontal="left" vertical="center"/>
    </xf>
    <xf numFmtId="0" fontId="186" fillId="9" borderId="2" applyAlignment="1" pivotButton="0" quotePrefix="0" xfId="0">
      <alignment horizontal="center" vertical="center" wrapText="1"/>
    </xf>
    <xf numFmtId="0" fontId="202" fillId="115" borderId="2" applyAlignment="1" pivotButton="0" quotePrefix="0" xfId="0">
      <alignment horizontal="center" vertical="center" wrapText="1"/>
    </xf>
    <xf numFmtId="0" fontId="326" fillId="155" borderId="2" applyAlignment="1" pivotButton="0" quotePrefix="0" xfId="0">
      <alignment horizontal="center" vertical="center" wrapText="1"/>
    </xf>
    <xf numFmtId="0" fontId="246" fillId="134" borderId="2" applyAlignment="1" pivotButton="0" quotePrefix="0" xfId="0">
      <alignment horizontal="center" vertical="center" wrapText="1"/>
    </xf>
    <xf numFmtId="0" fontId="22" fillId="96" borderId="2" applyAlignment="1" pivotButton="0" quotePrefix="0" xfId="0">
      <alignment horizontal="center" vertical="center" wrapText="1"/>
    </xf>
    <xf numFmtId="0" fontId="31" fillId="5" borderId="2" applyAlignment="1" pivotButton="0" quotePrefix="0" xfId="0">
      <alignment horizontal="center" vertical="center" wrapText="1"/>
    </xf>
    <xf numFmtId="0" fontId="75" fillId="15" borderId="2" applyAlignment="1" pivotButton="0" quotePrefix="0" xfId="0">
      <alignment horizontal="center" vertical="center" wrapText="1"/>
    </xf>
    <xf numFmtId="0" fontId="41" fillId="16" borderId="2" applyAlignment="1" pivotButton="0" quotePrefix="0" xfId="0">
      <alignment horizontal="center" vertical="center" wrapText="1"/>
    </xf>
    <xf numFmtId="0" fontId="57" fillId="0" borderId="2" applyAlignment="1" pivotButton="0" quotePrefix="0" xfId="0">
      <alignment horizontal="center" vertical="center" wrapText="1"/>
    </xf>
    <xf numFmtId="49" fontId="57" fillId="99" borderId="2" applyAlignment="1" pivotButton="0" quotePrefix="0" xfId="0">
      <alignment horizontal="center" vertical="center" wrapText="1"/>
    </xf>
    <xf numFmtId="0" fontId="57" fillId="99" borderId="2" applyAlignment="1" pivotButton="0" quotePrefix="0" xfId="0">
      <alignment horizontal="center" vertical="center" wrapText="1"/>
    </xf>
    <xf numFmtId="0" fontId="57" fillId="99" borderId="2" applyAlignment="1" pivotButton="0" quotePrefix="0" xfId="0">
      <alignment horizontal="left" vertical="center"/>
    </xf>
    <xf numFmtId="0" fontId="57" fillId="100" borderId="2" applyAlignment="1" pivotButton="0" quotePrefix="0" xfId="0">
      <alignment horizontal="center" vertical="center" wrapText="1"/>
    </xf>
    <xf numFmtId="0" fontId="57" fillId="100" borderId="2" applyAlignment="1" pivotButton="0" quotePrefix="0" xfId="0">
      <alignment horizontal="left" vertical="center"/>
    </xf>
    <xf numFmtId="49" fontId="57" fillId="100" borderId="2" applyAlignment="1" pivotButton="0" quotePrefix="0" xfId="0">
      <alignment horizontal="center" vertical="center" wrapText="1"/>
    </xf>
    <xf numFmtId="2" fontId="22" fillId="101" borderId="2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dxfs count="24">
    <dxf>
      <font>
        <color rgb="00CED4DA"/>
      </font>
      <fill>
        <patternFill patternType="solid">
          <bgColor rgb="00F8F9FA"/>
        </patternFill>
      </fill>
    </dxf>
    <dxf>
      <font>
        <b val="1"/>
        <color rgb="00C92A2A"/>
      </font>
      <fill>
        <patternFill patternType="solid">
          <bgColor rgb="00FFC9C9"/>
        </patternFill>
      </fill>
    </dxf>
    <dxf>
      <font>
        <b val="1"/>
        <color rgb="002B8A3E"/>
      </font>
      <fill>
        <patternFill patternType="solid">
          <bgColor rgb="00D3F9D8"/>
        </patternFill>
      </fill>
    </dxf>
    <dxf>
      <fill>
        <patternFill patternType="solid">
          <bgColor rgb="00F1F3F5"/>
        </patternFill>
      </fill>
    </dxf>
    <dxf>
      <font>
        <b val="1"/>
        <color rgb="00C92A2A"/>
      </font>
    </dxf>
    <dxf>
      <font>
        <color rgb="00868E96"/>
      </font>
      <fill>
        <patternFill patternType="solid">
          <bgColor rgb="00868E96"/>
        </patternFill>
      </fill>
    </dxf>
    <dxf>
      <font>
        <color rgb="00ADB5BD"/>
      </font>
      <fill>
        <patternFill patternType="solid">
          <bgColor rgb="00DEE2E6"/>
        </patternFill>
      </fill>
    </dxf>
    <dxf>
      <font>
        <color rgb="00FFFFFF"/>
      </font>
      <fill>
        <patternFill patternType="solid">
          <bgColor rgb="00FF8787"/>
        </patternFill>
      </fill>
    </dxf>
    <dxf>
      <font>
        <color rgb="00ADB5BD"/>
      </font>
      <fill>
        <patternFill patternType="solid">
          <bgColor rgb="00E9ECEF"/>
        </patternFill>
      </fill>
    </dxf>
    <dxf>
      <font>
        <b val="1"/>
        <color rgb="00087F5B"/>
      </font>
      <fill>
        <patternFill patternType="solid">
          <bgColor rgb="00C3FAE8"/>
        </patternFill>
      </fill>
    </dxf>
    <dxf>
      <font>
        <b val="1"/>
        <color rgb="00D9480F"/>
      </font>
      <fill>
        <patternFill patternType="solid">
          <bgColor rgb="00FFE8CC"/>
        </patternFill>
      </fill>
    </dxf>
    <dxf>
      <font>
        <b val="1"/>
        <color rgb="00E67700"/>
      </font>
      <fill>
        <patternFill patternType="solid">
          <bgColor rgb="00FFF3BF"/>
        </patternFill>
      </fill>
    </dxf>
    <dxf>
      <font>
        <b val="1"/>
        <color rgb="001864AB"/>
      </font>
      <fill>
        <patternFill patternType="solid">
          <bgColor rgb="00D0EBFF"/>
        </patternFill>
      </fill>
    </dxf>
    <dxf>
      <font>
        <color rgb="00212529"/>
      </font>
      <fill>
        <patternFill patternType="solid">
          <bgColor rgb="00FFC9C9"/>
        </patternFill>
      </fill>
    </dxf>
    <dxf>
      <font>
        <color rgb="00212529"/>
      </font>
      <fill>
        <patternFill patternType="solid">
          <bgColor rgb="00FFF3BF"/>
        </patternFill>
      </fill>
    </dxf>
    <dxf>
      <font>
        <color rgb="00212529"/>
      </font>
      <fill>
        <patternFill patternType="solid">
          <bgColor rgb="00D3F9D8"/>
        </patternFill>
      </fill>
    </dxf>
    <dxf>
      <font>
        <color rgb="00212529"/>
      </font>
      <fill>
        <patternFill patternType="solid">
          <bgColor rgb="00FFE8CC"/>
        </patternFill>
      </fill>
    </dxf>
    <dxf>
      <font>
        <color rgb="00212529"/>
      </font>
      <fill>
        <patternFill patternType="solid">
          <bgColor rgb="00D0EBFF"/>
        </patternFill>
      </fill>
    </dxf>
    <dxf>
      <font>
        <color rgb="00868E96"/>
      </font>
      <fill>
        <patternFill patternType="solid">
          <bgColor rgb="00E9ECEF"/>
        </patternFill>
      </fill>
    </dxf>
    <dxf>
      <fill>
        <patternFill patternType="solid">
          <bgColor rgb="00E9ECEF"/>
        </patternFill>
      </fill>
    </dxf>
    <dxf>
      <fill>
        <patternFill patternType="solid">
          <bgColor rgb="00C3FAE8"/>
        </patternFill>
      </fill>
    </dxf>
    <dxf>
      <font>
        <color rgb="00E67700"/>
      </font>
      <fill>
        <patternFill patternType="solid">
          <bgColor rgb="00FFF3BF"/>
        </patternFill>
      </fill>
    </dxf>
    <dxf>
      <font>
        <color rgb="00C92A2A"/>
      </font>
    </dxf>
    <dxf>
      <fill>
        <patternFill patternType="solid">
          <bgColor rgb="00343A4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styles" Target="styles.xml" Id="rId58"/><Relationship Type="http://schemas.openxmlformats.org/officeDocument/2006/relationships/theme" Target="theme/theme1.xml" Id="rId5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ร้อยละการมาเรียนรายเดือน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'แดชบอร์ด'!C62</f>
            </strRef>
          </tx>
          <spPr>
            <a:solidFill xmlns:a="http://schemas.openxmlformats.org/drawingml/2006/main">
              <a:srgbClr val="FF6B6B"/>
            </a:solidFill>
            <a:ln xmlns:a="http://schemas.openxmlformats.org/drawingml/2006/main">
              <a:solidFill>
                <a:srgbClr val="FF6B6B"/>
              </a:solidFill>
              <a:prstDash val="solid"/>
            </a:ln>
          </spPr>
          <cat>
            <numRef>
              <f>'แดชบอร์ด'!$B$63:$B$73</f>
            </numRef>
          </cat>
          <val>
            <numRef>
              <f>'แดชบอร์ด'!$C$63:$C$73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สุขนิสัยรายเดือน (ร้อยละ)</a:t>
            </a:r>
          </a:p>
        </rich>
      </tx>
    </title>
    <plotArea>
      <lineChart>
        <grouping val="standard"/>
        <ser>
          <idx val="0"/>
          <order val="0"/>
          <tx>
            <strRef>
              <f>'แดชบอร์ด'!D62</f>
            </strRef>
          </tx>
          <spPr>
            <a:ln xmlns:a="http://schemas.openxmlformats.org/drawingml/2006/main" w="28000">
              <a:solidFill>
                <a:srgbClr val="4DABF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'แดชบอร์ด'!$D$63:$D$73</f>
            </numRef>
          </val>
          <smooth val="0"/>
        </ser>
        <ser>
          <idx val="1"/>
          <order val="1"/>
          <tx>
            <strRef>
              <f>'แดชบอร์ด'!E62</f>
            </strRef>
          </tx>
          <spPr>
            <a:ln xmlns:a="http://schemas.openxmlformats.org/drawingml/2006/main" w="28000">
              <a:solidFill>
                <a:srgbClr val="22B8C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'แดชบอร์ด'!$E$63:$E$73</f>
            </numRef>
          </val>
          <smooth val="0"/>
        </ser>
        <ser>
          <idx val="2"/>
          <order val="2"/>
          <tx>
            <strRef>
              <f>'แดชบอร์ด'!F62</f>
            </strRef>
          </tx>
          <spPr>
            <a:ln xmlns:a="http://schemas.openxmlformats.org/drawingml/2006/main" w="28000">
              <a:solidFill>
                <a:srgbClr val="FF92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'แดชบอร์ด'!$F$63:$F$73</f>
            </numRef>
          </val>
          <smooth val="0"/>
        </ser>
        <ser>
          <idx val="3"/>
          <order val="3"/>
          <tx>
            <strRef>
              <f>'แดชบอร์ด'!G62</f>
            </strRef>
          </tx>
          <spPr>
            <a:ln xmlns:a="http://schemas.openxmlformats.org/drawingml/2006/main" w="28000">
              <a:solidFill>
                <a:srgbClr val="748FF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'แดชบอร์ด'!$G$63:$G$73</f>
            </numRef>
          </val>
          <smooth val="0"/>
        </ser>
        <ser>
          <idx val="4"/>
          <order val="4"/>
          <tx>
            <strRef>
              <f>'แดชบอร์ด'!H62</f>
            </strRef>
          </tx>
          <spPr>
            <a:ln xmlns:a="http://schemas.openxmlformats.org/drawingml/2006/main" w="28000">
              <a:solidFill>
                <a:srgbClr val="40C0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'แดชบอร์ด'!$H$63:$H$73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ภาวะโภชนาการ (น้ำหนักตามเกณฑ์ส่วนสูง) เดือนล่าสุด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'แดชบอร์ด'!C76</f>
            </strRef>
          </tx>
          <spPr>
            <a:solidFill xmlns:a="http://schemas.openxmlformats.org/drawingml/2006/main">
              <a:srgbClr val="845EF7"/>
            </a:solidFill>
            <a:ln xmlns:a="http://schemas.openxmlformats.org/drawingml/2006/main">
              <a:prstDash val="solid"/>
            </a:ln>
          </spPr>
          <cat>
            <numRef>
              <f>'แดชบอร์ด'!$B$77:$B$82</f>
            </numRef>
          </cat>
          <val>
            <numRef>
              <f>'แดชบอร์ด'!$C$77:$C$82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ผลพัฒนาการ ภาคเรียนที่ 1 (คน)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'แดชบอร์ด'!C85</f>
            </strRef>
          </tx>
          <spPr>
            <a:solidFill xmlns:a="http://schemas.openxmlformats.org/drawingml/2006/main">
              <a:srgbClr val="40C057"/>
            </a:solidFill>
            <a:ln xmlns:a="http://schemas.openxmlformats.org/drawingml/2006/main">
              <a:prstDash val="solid"/>
            </a:ln>
          </spPr>
          <cat>
            <numRef>
              <f>'แดชบอร์ด'!$B$86:$B$89</f>
            </numRef>
          </cat>
          <val>
            <numRef>
              <f>'แดชบอร์ด'!$C$86:$C$89</f>
            </numRef>
          </val>
        </ser>
        <ser>
          <idx val="1"/>
          <order val="1"/>
          <tx>
            <strRef>
              <f>'แดชบอร์ด'!D85</f>
            </strRef>
          </tx>
          <spPr>
            <a:solidFill xmlns:a="http://schemas.openxmlformats.org/drawingml/2006/main">
              <a:srgbClr val="FAB005"/>
            </a:solidFill>
            <a:ln xmlns:a="http://schemas.openxmlformats.org/drawingml/2006/main">
              <a:prstDash val="solid"/>
            </a:ln>
          </spPr>
          <cat>
            <numRef>
              <f>'แดชบอร์ด'!$B$86:$B$89</f>
            </numRef>
          </cat>
          <val>
            <numRef>
              <f>'แดชบอร์ด'!$D$86:$D$89</f>
            </numRef>
          </val>
        </ser>
        <ser>
          <idx val="2"/>
          <order val="2"/>
          <tx>
            <strRef>
              <f>'แดชบอร์ด'!E85</f>
            </strRef>
          </tx>
          <spPr>
            <a:solidFill xmlns:a="http://schemas.openxmlformats.org/drawingml/2006/main">
              <a:srgbClr val="FA5252"/>
            </a:solidFill>
            <a:ln xmlns:a="http://schemas.openxmlformats.org/drawingml/2006/main">
              <a:prstDash val="solid"/>
            </a:ln>
          </spPr>
          <cat>
            <numRef>
              <f>'แดชบอร์ด'!$B$86:$B$89</f>
            </numRef>
          </cat>
          <val>
            <numRef>
              <f>'แดชบอร์ด'!$E$86:$E$89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ผลการคัดกรองนักเรียน</a:t>
            </a:r>
          </a:p>
        </rich>
      </tx>
    </title>
    <plotArea>
      <pieChart>
        <varyColors val="1"/>
        <ser>
          <idx val="0"/>
          <order val="0"/>
          <tx>
            <strRef>
              <f>'แดชบอร์ด'!C92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0C057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AB00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A5252"/>
              </a:solidFill>
              <a:ln xmlns:a="http://schemas.openxmlformats.org/drawingml/2006/main">
                <a:prstDash val="solid"/>
              </a:ln>
            </spPr>
          </dPt>
          <cat>
            <numRef>
              <f>'แดชบอร์ด'!$B$93:$B$95</f>
            </numRef>
          </cat>
          <val>
            <numRef>
              <f>'แดชบอร์ด'!$C$93:$C$95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เงินฝากรายเดือน (บาท)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'แดชบอร์ด'!I62</f>
            </strRef>
          </tx>
          <spPr>
            <a:solidFill xmlns:a="http://schemas.openxmlformats.org/drawingml/2006/main">
              <a:srgbClr val="FAB005"/>
            </a:solidFill>
            <a:ln xmlns:a="http://schemas.openxmlformats.org/drawingml/2006/main">
              <a:prstDash val="solid"/>
            </a:ln>
          </spPr>
          <cat>
            <numRef>
              <f>'แดชบอร์ด'!$B$63:$B$73</f>
            </numRef>
          </cat>
          <val>
            <numRef>
              <f>'แดชบอร์ด'!$I$63:$I$73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ร้อยละเด็กสูงดีสมส่วน รายเดือน</a:t>
            </a:r>
          </a:p>
        </rich>
      </tx>
    </title>
    <plotArea>
      <lineChart>
        <grouping val="standard"/>
        <ser>
          <idx val="0"/>
          <order val="0"/>
          <tx>
            <strRef>
              <f>'แดชบอร์ด'!J62</f>
            </strRef>
          </tx>
          <spPr>
            <a:ln xmlns:a="http://schemas.openxmlformats.org/drawingml/2006/main" w="32000">
              <a:solidFill>
                <a:srgbClr val="2B8A3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'แดชบอร์ด'!$B$63:$B$73</f>
            </numRef>
          </cat>
          <val>
            <numRef>
              <f>'แดชบอร์ด'!$J$63:$J$73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5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7.png" Id="rId15"/><Relationship Type="http://schemas.openxmlformats.org/officeDocument/2006/relationships/image" Target="/xl/media/image12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1.png" Id="rId23"/><Relationship Type="http://schemas.openxmlformats.org/officeDocument/2006/relationships/image" Target="/xl/media/image24.png" Id="rId24"/><Relationship Type="http://schemas.openxmlformats.org/officeDocument/2006/relationships/image" Target="/xl/media/image21.png" Id="rId25"/><Relationship Type="http://schemas.openxmlformats.org/officeDocument/2006/relationships/image" Target="/xl/media/image26.png" Id="rId26"/><Relationship Type="http://schemas.openxmlformats.org/officeDocument/2006/relationships/image" Target="/xl/media/image21.png" Id="rId27"/><Relationship Type="http://schemas.openxmlformats.org/officeDocument/2006/relationships/image" Target="/xl/media/image28.png" Id="rId28"/><Relationship Type="http://schemas.openxmlformats.org/officeDocument/2006/relationships/image" Target="/xl/media/image21.png" Id="rId29"/><Relationship Type="http://schemas.openxmlformats.org/officeDocument/2006/relationships/image" Target="/xl/media/image30.png" Id="rId30"/><Relationship Type="http://schemas.openxmlformats.org/officeDocument/2006/relationships/image" Target="/xl/media/image21.png" Id="rId31"/><Relationship Type="http://schemas.openxmlformats.org/officeDocument/2006/relationships/image" Target="/xl/media/image21.png" Id="rId32"/><Relationship Type="http://schemas.openxmlformats.org/officeDocument/2006/relationships/image" Target="/xl/media/image21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21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21.png" Id="rId39"/><Relationship Type="http://schemas.openxmlformats.org/officeDocument/2006/relationships/image" Target="/xl/media/image40.png" Id="rId40"/><Relationship Type="http://schemas.openxmlformats.org/officeDocument/2006/relationships/image" Target="/xl/media/image21.png" Id="rId41"/><Relationship Type="http://schemas.openxmlformats.org/officeDocument/2006/relationships/image" Target="/xl/media/image42.png" Id="rId42"/><Relationship Type="http://schemas.openxmlformats.org/officeDocument/2006/relationships/image" Target="/xl/media/image21.png" Id="rId43"/><Relationship Type="http://schemas.openxmlformats.org/officeDocument/2006/relationships/image" Target="/xl/media/image44.png" Id="rId44"/><Relationship Type="http://schemas.openxmlformats.org/officeDocument/2006/relationships/image" Target="/xl/media/image21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21.png" Id="rId48"/><Relationship Type="http://schemas.openxmlformats.org/officeDocument/2006/relationships/image" Target="/xl/media/image49.png" Id="rId49"/><Relationship Type="http://schemas.openxmlformats.org/officeDocument/2006/relationships/image" Target="/xl/media/image21.png" Id="rId50"/><Relationship Type="http://schemas.openxmlformats.org/officeDocument/2006/relationships/image" Target="/xl/media/image51.png" Id="rId51"/><Relationship Type="http://schemas.openxmlformats.org/officeDocument/2006/relationships/image" Target="/xl/media/image21.png" Id="rId52"/><Relationship Type="http://schemas.openxmlformats.org/officeDocument/2006/relationships/image" Target="/xl/media/image53.png" Id="rId53"/><Relationship Type="http://schemas.openxmlformats.org/officeDocument/2006/relationships/image" Target="/xl/media/image21.png" Id="rId54"/><Relationship Type="http://schemas.openxmlformats.org/officeDocument/2006/relationships/image" Target="/xl/media/image55.png" Id="rId55"/><Relationship Type="http://schemas.openxmlformats.org/officeDocument/2006/relationships/image" Target="/xl/media/image21.png" Id="rId56"/><Relationship Type="http://schemas.openxmlformats.org/officeDocument/2006/relationships/image" Target="/xl/media/image57.png" Id="rId57"/><Relationship Type="http://schemas.openxmlformats.org/officeDocument/2006/relationships/image" Target="/xl/media/image21.png" Id="rId58"/><Relationship Type="http://schemas.openxmlformats.org/officeDocument/2006/relationships/image" Target="/xl/media/image59.png" Id="rId59"/><Relationship Type="http://schemas.openxmlformats.org/officeDocument/2006/relationships/image" Target="/xl/media/image8.png" Id="rId60"/><Relationship Type="http://schemas.openxmlformats.org/officeDocument/2006/relationships/image" Target="/xl/media/image21.png" Id="rId61"/><Relationship Type="http://schemas.openxmlformats.org/officeDocument/2006/relationships/image" Target="/xl/media/image62.png" Id="rId62"/><Relationship Type="http://schemas.openxmlformats.org/officeDocument/2006/relationships/image" Target="/xl/media/image21.png" Id="rId63"/><Relationship Type="http://schemas.openxmlformats.org/officeDocument/2006/relationships/image" Target="/xl/media/image64.png" Id="rId64"/><Relationship Type="http://schemas.openxmlformats.org/officeDocument/2006/relationships/image" Target="/xl/media/image21.png" Id="rId65"/><Relationship Type="http://schemas.openxmlformats.org/officeDocument/2006/relationships/image" Target="/xl/media/image66.png" Id="rId66"/><Relationship Type="http://schemas.openxmlformats.org/officeDocument/2006/relationships/image" Target="/xl/media/image21.png" Id="rId67"/><Relationship Type="http://schemas.openxmlformats.org/officeDocument/2006/relationships/image" Target="/xl/media/image68.png" Id="rId68"/><Relationship Type="http://schemas.openxmlformats.org/officeDocument/2006/relationships/image" Target="/xl/media/image21.png" Id="rId69"/></Relationships>
</file>

<file path=xl/drawings/_rels/drawing2.xml.rels><Relationships xmlns="http://schemas.openxmlformats.org/package/2006/relationships"><Relationship Type="http://schemas.openxmlformats.org/officeDocument/2006/relationships/image" Target="/xl/media/image53.png" Id="rId1"/><Relationship Type="http://schemas.openxmlformats.org/officeDocument/2006/relationships/image" Target="/xl/media/image71.png" Id="rId2"/><Relationship Type="http://schemas.openxmlformats.org/officeDocument/2006/relationships/image" Target="/xl/media/image72.png" Id="rId3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image" Target="/xl/media/image12.png" Id="rId8"/><Relationship Type="http://schemas.openxmlformats.org/officeDocument/2006/relationships/image" Target="/xl/media/image74.png" Id="rId9"/><Relationship Type="http://schemas.openxmlformats.org/officeDocument/2006/relationships/image" Target="/xl/media/image72.png" Id="rId10"/></Relationships>
</file>

<file path=xl/drawings/_rels/drawing4.xml.rels><Relationships xmlns="http://schemas.openxmlformats.org/package/2006/relationships"><Relationship Type="http://schemas.openxmlformats.org/officeDocument/2006/relationships/image" Target="/xl/media/image13.png" Id="rId1"/><Relationship Type="http://schemas.openxmlformats.org/officeDocument/2006/relationships/image" Target="/xl/media/image77.png" Id="rId2"/></Relationships>
</file>

<file path=xl/drawings/_rels/drawing5.xml.rels><Relationships xmlns="http://schemas.openxmlformats.org/package/2006/relationships"><Relationship Type="http://schemas.openxmlformats.org/officeDocument/2006/relationships/image" Target="/xl/media/image10.png" Id="rId1"/><Relationship Type="http://schemas.openxmlformats.org/officeDocument/2006/relationships/image" Target="/xl/media/image79.png" Id="rId2"/><Relationship Type="http://schemas.openxmlformats.org/officeDocument/2006/relationships/image" Target="/xl/media/image72.png" Id="rId3"/></Relationships>
</file>

<file path=xl/drawings/_rels/drawing6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82.png" Id="rId2"/><Relationship Type="http://schemas.openxmlformats.org/officeDocument/2006/relationships/image" Target="/xl/media/image72.png" Id="rId3"/></Relationships>
</file>

<file path=xl/drawings/_rels/drawing7.xml.rels><Relationships xmlns="http://schemas.openxmlformats.org/package/2006/relationships"><Relationship Type="http://schemas.openxmlformats.org/officeDocument/2006/relationships/image" Target="/xl/media/image30.png" Id="rId1"/><Relationship Type="http://schemas.openxmlformats.org/officeDocument/2006/relationships/image" Target="/xl/media/image85.png" Id="rId2"/><Relationship Type="http://schemas.openxmlformats.org/officeDocument/2006/relationships/image" Target="/xl/media/image72.png" Id="rId3"/></Relationships>
</file>

<file path=xl/drawings/_rels/drawing8.xml.rels><Relationships xmlns="http://schemas.openxmlformats.org/package/2006/relationships"><Relationship Type="http://schemas.openxmlformats.org/officeDocument/2006/relationships/image" Target="/xl/media/image21.png" Id="rId1"/><Relationship Type="http://schemas.openxmlformats.org/officeDocument/2006/relationships/image" Target="/xl/media/image88.png" Id="rId2"/><Relationship Type="http://schemas.openxmlformats.org/officeDocument/2006/relationships/image" Target="/xl/media/image72.png" Id="rId3"/></Relationships>
</file>

<file path=xl/drawings/_rels/drawing9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91.png" Id="rId2"/><Relationship Type="http://schemas.openxmlformats.org/officeDocument/2006/relationships/image" Target="/xl/media/image72.png" Id="rId3"/></Relationships>
</file>

<file path=xl/drawings/_rels/drawing10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94.png" Id="rId2"/><Relationship Type="http://schemas.openxmlformats.org/officeDocument/2006/relationships/image" Target="/xl/media/image72.png" Id="rId3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2.png" Id="rId1"/><Relationship Type="http://schemas.openxmlformats.org/officeDocument/2006/relationships/image" Target="/xl/media/image97.png" Id="rId2"/><Relationship Type="http://schemas.openxmlformats.org/officeDocument/2006/relationships/image" Target="/xl/media/image72.png" Id="rId3"/></Relationships>
</file>

<file path=xl/drawings/_rels/drawing12.xml.rels><Relationships xmlns="http://schemas.openxmlformats.org/package/2006/relationships"><Relationship Type="http://schemas.openxmlformats.org/officeDocument/2006/relationships/image" Target="/xl/media/image35.png" Id="rId1"/><Relationship Type="http://schemas.openxmlformats.org/officeDocument/2006/relationships/image" Target="/xl/media/image100.png" Id="rId2"/><Relationship Type="http://schemas.openxmlformats.org/officeDocument/2006/relationships/image" Target="/xl/media/image72.png" Id="rId3"/></Relationships>
</file>

<file path=xl/drawings/_rels/drawing13.xml.rels><Relationships xmlns="http://schemas.openxmlformats.org/package/2006/relationships"><Relationship Type="http://schemas.openxmlformats.org/officeDocument/2006/relationships/image" Target="/xl/media/image35.png" Id="rId1"/><Relationship Type="http://schemas.openxmlformats.org/officeDocument/2006/relationships/image" Target="/xl/media/image103.png" Id="rId2"/><Relationship Type="http://schemas.openxmlformats.org/officeDocument/2006/relationships/image" Target="/xl/media/image72.png" Id="rId3"/></Relationships>
</file>

<file path=xl/drawings/_rels/drawing14.xml.rels><Relationships xmlns="http://schemas.openxmlformats.org/package/2006/relationships"><Relationship Type="http://schemas.openxmlformats.org/officeDocument/2006/relationships/image" Target="/xl/media/image37.png" Id="rId1"/><Relationship Type="http://schemas.openxmlformats.org/officeDocument/2006/relationships/image" Target="/xl/media/image106.png" Id="rId2"/><Relationship Type="http://schemas.openxmlformats.org/officeDocument/2006/relationships/image" Target="/xl/media/image72.png" Id="rId3"/></Relationships>
</file>

<file path=xl/drawings/_rels/drawing15.xml.rels><Relationships xmlns="http://schemas.openxmlformats.org/package/2006/relationships"><Relationship Type="http://schemas.openxmlformats.org/officeDocument/2006/relationships/image" Target="/xl/media/image38.png" Id="rId1"/><Relationship Type="http://schemas.openxmlformats.org/officeDocument/2006/relationships/image" Target="/xl/media/image109.png" Id="rId2"/><Relationship Type="http://schemas.openxmlformats.org/officeDocument/2006/relationships/image" Target="/xl/media/image72.png" Id="rId3"/></Relationships>
</file>

<file path=xl/drawings/_rels/drawing16.xml.rels><Relationships xmlns="http://schemas.openxmlformats.org/package/2006/relationships"><Relationship Type="http://schemas.openxmlformats.org/officeDocument/2006/relationships/image" Target="/xl/media/image38.png" Id="rId1"/><Relationship Type="http://schemas.openxmlformats.org/officeDocument/2006/relationships/image" Target="/xl/media/image112.png" Id="rId2"/><Relationship Type="http://schemas.openxmlformats.org/officeDocument/2006/relationships/image" Target="/xl/media/image72.png" Id="rId3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Relationship Type="http://schemas.openxmlformats.org/officeDocument/2006/relationships/image" Target="/xl/media/image115.png" Id="rId2"/><Relationship Type="http://schemas.openxmlformats.org/officeDocument/2006/relationships/image" Target="/xl/media/image72.png" Id="rId3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7.png" Id="rId1"/><Relationship Type="http://schemas.openxmlformats.org/officeDocument/2006/relationships/image" Target="/xl/media/image118.png" Id="rId2"/><Relationship Type="http://schemas.openxmlformats.org/officeDocument/2006/relationships/image" Target="/xl/media/image72.png" Id="rId3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8.png" Id="rId1"/><Relationship Type="http://schemas.openxmlformats.org/officeDocument/2006/relationships/image" Target="/xl/media/image121.png" Id="rId2"/><Relationship Type="http://schemas.openxmlformats.org/officeDocument/2006/relationships/image" Target="/xl/media/image72.png" Id="rId3"/></Relationships>
</file>

<file path=xl/drawings/_rels/drawing20.xml.rels><Relationships xmlns="http://schemas.openxmlformats.org/package/2006/relationships"><Relationship Type="http://schemas.openxmlformats.org/officeDocument/2006/relationships/image" Target="/xl/media/image18.png" Id="rId1"/><Relationship Type="http://schemas.openxmlformats.org/officeDocument/2006/relationships/image" Target="/xl/media/image124.png" Id="rId2"/><Relationship Type="http://schemas.openxmlformats.org/officeDocument/2006/relationships/image" Target="/xl/media/image72.png" Id="rId3"/></Relationships>
</file>

<file path=xl/drawings/_rels/drawing21.xml.rels><Relationships xmlns="http://schemas.openxmlformats.org/package/2006/relationships"><Relationship Type="http://schemas.openxmlformats.org/officeDocument/2006/relationships/image" Target="/xl/media/image19.png" Id="rId1"/><Relationship Type="http://schemas.openxmlformats.org/officeDocument/2006/relationships/image" Target="/xl/media/image127.png" Id="rId2"/><Relationship Type="http://schemas.openxmlformats.org/officeDocument/2006/relationships/image" Target="/xl/media/image72.png" Id="rId3"/></Relationships>
</file>

<file path=xl/drawings/_rels/drawing22.xml.rels><Relationships xmlns="http://schemas.openxmlformats.org/package/2006/relationships"><Relationship Type="http://schemas.openxmlformats.org/officeDocument/2006/relationships/image" Target="/xl/media/image19.png" Id="rId1"/><Relationship Type="http://schemas.openxmlformats.org/officeDocument/2006/relationships/image" Target="/xl/media/image130.png" Id="rId2"/><Relationship Type="http://schemas.openxmlformats.org/officeDocument/2006/relationships/image" Target="/xl/media/image72.png" Id="rId3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0.png" Id="rId1"/><Relationship Type="http://schemas.openxmlformats.org/officeDocument/2006/relationships/image" Target="/xl/media/image133.png" Id="rId2"/><Relationship Type="http://schemas.openxmlformats.org/officeDocument/2006/relationships/image" Target="/xl/media/image72.png" Id="rId3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0.png" Id="rId1"/><Relationship Type="http://schemas.openxmlformats.org/officeDocument/2006/relationships/image" Target="/xl/media/image136.png" Id="rId2"/><Relationship Type="http://schemas.openxmlformats.org/officeDocument/2006/relationships/image" Target="/xl/media/image72.png" Id="rId3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2.png" Id="rId1"/><Relationship Type="http://schemas.openxmlformats.org/officeDocument/2006/relationships/image" Target="/xl/media/image139.png" Id="rId2"/><Relationship Type="http://schemas.openxmlformats.org/officeDocument/2006/relationships/image" Target="/xl/media/image72.png" Id="rId3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2.png" Id="rId1"/><Relationship Type="http://schemas.openxmlformats.org/officeDocument/2006/relationships/image" Target="/xl/media/image142.png" Id="rId2"/><Relationship Type="http://schemas.openxmlformats.org/officeDocument/2006/relationships/image" Target="/xl/media/image72.png" Id="rId3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4.png" Id="rId1"/><Relationship Type="http://schemas.openxmlformats.org/officeDocument/2006/relationships/image" Target="/xl/media/image145.png" Id="rId2"/><Relationship Type="http://schemas.openxmlformats.org/officeDocument/2006/relationships/image" Target="/xl/media/image72.png" Id="rId3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4.png" Id="rId1"/><Relationship Type="http://schemas.openxmlformats.org/officeDocument/2006/relationships/image" Target="/xl/media/image148.png" Id="rId2"/><Relationship Type="http://schemas.openxmlformats.org/officeDocument/2006/relationships/image" Target="/xl/media/image72.png" Id="rId3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6.png" Id="rId1"/><Relationship Type="http://schemas.openxmlformats.org/officeDocument/2006/relationships/image" Target="/xl/media/image151.png" Id="rId2"/><Relationship Type="http://schemas.openxmlformats.org/officeDocument/2006/relationships/image" Target="/xl/media/image72.png" Id="rId3"/></Relationships>
</file>

<file path=xl/drawings/_rels/drawing30.xml.rels><Relationships xmlns="http://schemas.openxmlformats.org/package/2006/relationships"><Relationship Type="http://schemas.openxmlformats.org/officeDocument/2006/relationships/image" Target="/xl/media/image26.png" Id="rId1"/><Relationship Type="http://schemas.openxmlformats.org/officeDocument/2006/relationships/image" Target="/xl/media/image154.png" Id="rId2"/><Relationship Type="http://schemas.openxmlformats.org/officeDocument/2006/relationships/image" Target="/xl/media/image72.png" Id="rId3"/></Relationships>
</file>

<file path=xl/drawings/_rels/drawing31.xml.rels><Relationships xmlns="http://schemas.openxmlformats.org/package/2006/relationships"><Relationship Type="http://schemas.openxmlformats.org/officeDocument/2006/relationships/image" Target="/xl/media/image28.png" Id="rId1"/><Relationship Type="http://schemas.openxmlformats.org/officeDocument/2006/relationships/image" Target="/xl/media/image157.png" Id="rId2"/><Relationship Type="http://schemas.openxmlformats.org/officeDocument/2006/relationships/image" Target="/xl/media/image72.png" Id="rId3"/></Relationships>
</file>

<file path=xl/drawings/_rels/drawing32.xml.rels><Relationships xmlns="http://schemas.openxmlformats.org/package/2006/relationships"><Relationship Type="http://schemas.openxmlformats.org/officeDocument/2006/relationships/image" Target="/xl/media/image28.png" Id="rId1"/><Relationship Type="http://schemas.openxmlformats.org/officeDocument/2006/relationships/image" Target="/xl/media/image160.png" Id="rId2"/><Relationship Type="http://schemas.openxmlformats.org/officeDocument/2006/relationships/image" Target="/xl/media/image72.png" Id="rId3"/></Relationships>
</file>

<file path=xl/drawings/_rels/drawing33.xml.rels><Relationships xmlns="http://schemas.openxmlformats.org/package/2006/relationships"><Relationship Type="http://schemas.openxmlformats.org/officeDocument/2006/relationships/image" Target="/xl/media/image8.png" Id="rId1"/><Relationship Type="http://schemas.openxmlformats.org/officeDocument/2006/relationships/image" Target="/xl/media/image163.png" Id="rId2"/><Relationship Type="http://schemas.openxmlformats.org/officeDocument/2006/relationships/image" Target="/xl/media/image72.png" Id="rId3"/></Relationships>
</file>

<file path=xl/drawings/_rels/drawing34.xml.rels><Relationships xmlns="http://schemas.openxmlformats.org/package/2006/relationships"><Relationship Type="http://schemas.openxmlformats.org/officeDocument/2006/relationships/image" Target="/xl/media/image8.png" Id="rId1"/><Relationship Type="http://schemas.openxmlformats.org/officeDocument/2006/relationships/image" Target="/xl/media/image166.png" Id="rId2"/><Relationship Type="http://schemas.openxmlformats.org/officeDocument/2006/relationships/image" Target="/xl/media/image72.png" Id="rId3"/></Relationships>
</file>

<file path=xl/drawings/_rels/drawing35.xml.rels><Relationships xmlns="http://schemas.openxmlformats.org/package/2006/relationships"><Relationship Type="http://schemas.openxmlformats.org/officeDocument/2006/relationships/image" Target="/xl/media/image62.png" Id="rId1"/><Relationship Type="http://schemas.openxmlformats.org/officeDocument/2006/relationships/image" Target="/xl/media/image169.png" Id="rId2"/><Relationship Type="http://schemas.openxmlformats.org/officeDocument/2006/relationships/image" Target="/xl/media/image72.png" Id="rId3"/></Relationships>
</file>

<file path=xl/drawings/_rels/drawing36.xml.rels><Relationships xmlns="http://schemas.openxmlformats.org/package/2006/relationships"><Relationship Type="http://schemas.openxmlformats.org/officeDocument/2006/relationships/image" Target="/xl/media/image62.png" Id="rId1"/><Relationship Type="http://schemas.openxmlformats.org/officeDocument/2006/relationships/image" Target="/xl/media/image172.png" Id="rId2"/><Relationship Type="http://schemas.openxmlformats.org/officeDocument/2006/relationships/image" Target="/xl/media/image72.png" Id="rId3"/></Relationships>
</file>

<file path=xl/drawings/_rels/drawing37.xml.rels><Relationships xmlns="http://schemas.openxmlformats.org/package/2006/relationships"><Relationship Type="http://schemas.openxmlformats.org/officeDocument/2006/relationships/image" Target="/xl/media/image42.png" Id="rId1"/><Relationship Type="http://schemas.openxmlformats.org/officeDocument/2006/relationships/image" Target="/xl/media/image175.png" Id="rId2"/><Relationship Type="http://schemas.openxmlformats.org/officeDocument/2006/relationships/image" Target="/xl/media/image72.png" Id="rId3"/></Relationships>
</file>

<file path=xl/drawings/_rels/drawing38.xml.rels><Relationships xmlns="http://schemas.openxmlformats.org/package/2006/relationships"><Relationship Type="http://schemas.openxmlformats.org/officeDocument/2006/relationships/image" Target="/xl/media/image40.png" Id="rId1"/><Relationship Type="http://schemas.openxmlformats.org/officeDocument/2006/relationships/image" Target="/xl/media/image178.png" Id="rId2"/><Relationship Type="http://schemas.openxmlformats.org/officeDocument/2006/relationships/image" Target="/xl/media/image72.png" Id="rId3"/></Relationships>
</file>

<file path=xl/drawings/_rels/drawing39.xml.rels><Relationships xmlns="http://schemas.openxmlformats.org/package/2006/relationships"><Relationship Type="http://schemas.openxmlformats.org/officeDocument/2006/relationships/image" Target="/xl/media/image72.png" Id="rId1"/></Relationships>
</file>

<file path=xl/drawings/_rels/drawing40.xml.rels><Relationships xmlns="http://schemas.openxmlformats.org/package/2006/relationships"><Relationship Type="http://schemas.openxmlformats.org/officeDocument/2006/relationships/image" Target="/xl/media/image64.png" Id="rId1"/><Relationship Type="http://schemas.openxmlformats.org/officeDocument/2006/relationships/image" Target="/xl/media/image182.png" Id="rId2"/><Relationship Type="http://schemas.openxmlformats.org/officeDocument/2006/relationships/image" Target="/xl/media/image72.png" Id="rId3"/></Relationships>
</file>

<file path=xl/drawings/_rels/drawing41.xml.rels><Relationships xmlns="http://schemas.openxmlformats.org/package/2006/relationships"><Relationship Type="http://schemas.openxmlformats.org/officeDocument/2006/relationships/image" Target="/xl/media/image66.png" Id="rId1"/><Relationship Type="http://schemas.openxmlformats.org/officeDocument/2006/relationships/image" Target="/xl/media/image185.png" Id="rId2"/><Relationship Type="http://schemas.openxmlformats.org/officeDocument/2006/relationships/image" Target="/xl/media/image72.png" Id="rId3"/></Relationships>
</file>

<file path=xl/drawings/_rels/drawing42.xml.rels><Relationships xmlns="http://schemas.openxmlformats.org/package/2006/relationships"><Relationship Type="http://schemas.openxmlformats.org/officeDocument/2006/relationships/image" Target="/xl/media/image68.png" Id="rId1"/><Relationship Type="http://schemas.openxmlformats.org/officeDocument/2006/relationships/image" Target="/xl/media/image188.png" Id="rId2"/><Relationship Type="http://schemas.openxmlformats.org/officeDocument/2006/relationships/image" Target="/xl/media/image72.png" Id="rId3"/></Relationships>
</file>

<file path=xl/drawings/_rels/drawing43.xml.rels><Relationships xmlns="http://schemas.openxmlformats.org/package/2006/relationships"><Relationship Type="http://schemas.openxmlformats.org/officeDocument/2006/relationships/image" Target="/xl/media/image190.png" Id="rId1"/><Relationship Type="http://schemas.openxmlformats.org/officeDocument/2006/relationships/image" Target="/xl/media/image191.png" Id="rId2"/><Relationship Type="http://schemas.openxmlformats.org/officeDocument/2006/relationships/image" Target="/xl/media/image192.png" Id="rId3"/></Relationships>
</file>

<file path=xl/drawings/_rels/drawing44.xml.rels><Relationships xmlns="http://schemas.openxmlformats.org/package/2006/relationships"><Relationship Type="http://schemas.openxmlformats.org/officeDocument/2006/relationships/image" Target="/xl/media/image190.png" Id="rId1"/><Relationship Type="http://schemas.openxmlformats.org/officeDocument/2006/relationships/image" Target="/xl/media/image191.png" Id="rId2"/><Relationship Type="http://schemas.openxmlformats.org/officeDocument/2006/relationships/image" Target="/xl/media/image192.png" Id="rId3"/><Relationship Type="http://schemas.openxmlformats.org/officeDocument/2006/relationships/image" Target="/xl/media/image190.png" Id="rId4"/><Relationship Type="http://schemas.openxmlformats.org/officeDocument/2006/relationships/image" Target="/xl/media/image191.png" Id="rId5"/><Relationship Type="http://schemas.openxmlformats.org/officeDocument/2006/relationships/image" Target="/xl/media/image192.png" Id="rId6"/><Relationship Type="http://schemas.openxmlformats.org/officeDocument/2006/relationships/image" Target="/xl/media/image190.png" Id="rId7"/><Relationship Type="http://schemas.openxmlformats.org/officeDocument/2006/relationships/image" Target="/xl/media/image191.png" Id="rId8"/><Relationship Type="http://schemas.openxmlformats.org/officeDocument/2006/relationships/image" Target="/xl/media/image192.png" Id="rId9"/><Relationship Type="http://schemas.openxmlformats.org/officeDocument/2006/relationships/image" Target="/xl/media/image190.png" Id="rId10"/><Relationship Type="http://schemas.openxmlformats.org/officeDocument/2006/relationships/image" Target="/xl/media/image191.png" Id="rId11"/><Relationship Type="http://schemas.openxmlformats.org/officeDocument/2006/relationships/image" Target="/xl/media/image192.png" Id="rId12"/><Relationship Type="http://schemas.openxmlformats.org/officeDocument/2006/relationships/image" Target="/xl/media/image190.png" Id="rId13"/><Relationship Type="http://schemas.openxmlformats.org/officeDocument/2006/relationships/image" Target="/xl/media/image191.png" Id="rId14"/><Relationship Type="http://schemas.openxmlformats.org/officeDocument/2006/relationships/image" Target="/xl/media/image192.png" Id="rId15"/></Relationships>
</file>

<file path=xl/drawings/_rels/drawing45.xml.rels><Relationships xmlns="http://schemas.openxmlformats.org/package/2006/relationships"><Relationship Type="http://schemas.openxmlformats.org/officeDocument/2006/relationships/image" Target="/xl/media/image55.png" Id="rId1"/><Relationship Type="http://schemas.openxmlformats.org/officeDocument/2006/relationships/image" Target="/xl/media/image209.png" Id="rId2"/><Relationship Type="http://schemas.openxmlformats.org/officeDocument/2006/relationships/image" Target="/xl/media/image72.png" Id="rId3"/></Relationships>
</file>

<file path=xl/drawings/_rels/drawing46.xml.rels><Relationships xmlns="http://schemas.openxmlformats.org/package/2006/relationships"><Relationship Type="http://schemas.openxmlformats.org/officeDocument/2006/relationships/image" Target="/xl/media/image57.png" Id="rId1"/><Relationship Type="http://schemas.openxmlformats.org/officeDocument/2006/relationships/image" Target="/xl/media/image21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19050</rowOff>
    </from>
    <ext cx="1428750" cy="1057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381000</colOff>
      <row>0</row>
      <rowOff>209550</rowOff>
    </from>
    <ext cx="4476750" cy="5619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1066800</colOff>
      <row>0</row>
      <rowOff>847725</rowOff>
    </from>
    <ext cx="3143250" cy="2190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285750</colOff>
      <row>0</row>
      <rowOff>0</rowOff>
    </from>
    <ext cx="3143250" cy="13620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</colOff>
      <row>9</row>
      <rowOff>76200</rowOff>
    </from>
    <ext cx="533400" cy="5334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</colOff>
      <row>9</row>
      <rowOff>76200</rowOff>
    </from>
    <ext cx="533400" cy="5334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</colOff>
      <row>9</row>
      <rowOff>76200</rowOff>
    </from>
    <ext cx="533400" cy="5334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</colOff>
      <row>9</row>
      <rowOff>76200</rowOff>
    </from>
    <ext cx="533400" cy="5334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19050</colOff>
      <row>13</row>
      <rowOff>38100</rowOff>
    </from>
    <ext cx="1190625" cy="2857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14</row>
      <rowOff>28575</rowOff>
    </from>
    <ext cx="419100" cy="4191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14</row>
      <rowOff>28575</rowOff>
    </from>
    <ext cx="419100" cy="4191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14</row>
      <rowOff>28575</rowOff>
    </from>
    <ext cx="419100" cy="419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14</row>
      <rowOff>28575</rowOff>
    </from>
    <ext cx="419100" cy="419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19050</colOff>
      <row>18</row>
      <rowOff>38100</rowOff>
    </from>
    <ext cx="1590675" cy="2857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19</row>
      <rowOff>28575</rowOff>
    </from>
    <ext cx="419100" cy="4191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19</row>
      <rowOff>28575</rowOff>
    </from>
    <ext cx="419100" cy="4191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19</row>
      <rowOff>28575</rowOff>
    </from>
    <ext cx="419100" cy="4191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19</row>
      <rowOff>28575</rowOff>
    </from>
    <ext cx="419100" cy="4191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23</row>
      <rowOff>28575</rowOff>
    </from>
    <ext cx="419100" cy="4191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23</row>
      <rowOff>28575</rowOff>
    </from>
    <ext cx="419100" cy="4191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23</row>
      <rowOff>171450</rowOff>
    </from>
    <ext cx="228600" cy="228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23</row>
      <rowOff>28575</rowOff>
    </from>
    <ext cx="419100" cy="4191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381000</colOff>
      <row>23</row>
      <rowOff>171450</rowOff>
    </from>
    <ext cx="228600" cy="228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23</row>
      <rowOff>28575</rowOff>
    </from>
    <ext cx="419100" cy="4191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381000</colOff>
      <row>23</row>
      <rowOff>171450</rowOff>
    </from>
    <ext cx="228600" cy="228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27</row>
      <rowOff>28575</rowOff>
    </from>
    <ext cx="419100" cy="4191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27</row>
      <rowOff>171450</rowOff>
    </from>
    <ext cx="228600" cy="228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27</row>
      <rowOff>28575</rowOff>
    </from>
    <ext cx="419100" cy="4191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27</row>
      <rowOff>171450</rowOff>
    </from>
    <ext cx="228600" cy="228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27</row>
      <rowOff>28575</rowOff>
    </from>
    <ext cx="419100" cy="4191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381000</colOff>
      <row>27</row>
      <rowOff>171450</rowOff>
    </from>
    <ext cx="228600" cy="228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27</row>
      <rowOff>28575</rowOff>
    </from>
    <ext cx="419100" cy="4191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381000</colOff>
      <row>27</row>
      <rowOff>171450</rowOff>
    </from>
    <ext cx="228600" cy="228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19050</colOff>
      <row>31</row>
      <rowOff>38100</rowOff>
    </from>
    <ext cx="2771775" cy="2857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32</row>
      <rowOff>28575</rowOff>
    </from>
    <ext cx="419100" cy="4191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32</row>
      <rowOff>171450</rowOff>
    </from>
    <ext cx="228600" cy="228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32</row>
      <rowOff>28575</rowOff>
    </from>
    <ext cx="419100" cy="4191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32</row>
      <rowOff>28575</rowOff>
    </from>
    <ext cx="419100" cy="4191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381000</colOff>
      <row>32</row>
      <rowOff>171450</rowOff>
    </from>
    <ext cx="228600" cy="228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32</row>
      <rowOff>28575</rowOff>
    </from>
    <ext cx="419100" cy="4191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381000</colOff>
      <row>32</row>
      <rowOff>171450</rowOff>
    </from>
    <ext cx="228600" cy="228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36</row>
      <rowOff>28575</rowOff>
    </from>
    <ext cx="419100" cy="4191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36</row>
      <rowOff>171450</rowOff>
    </from>
    <ext cx="228600" cy="228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36</row>
      <rowOff>28575</rowOff>
    </from>
    <ext cx="419100" cy="4191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36</row>
      <rowOff>171450</rowOff>
    </from>
    <ext cx="228600" cy="228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19050</colOff>
      <row>40</row>
      <rowOff>38100</rowOff>
    </from>
    <ext cx="2476500" cy="2857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41</row>
      <rowOff>28575</rowOff>
    </from>
    <ext cx="419100" cy="4191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41</row>
      <rowOff>171450</rowOff>
    </from>
    <ext cx="228600" cy="228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41</row>
      <rowOff>28575</rowOff>
    </from>
    <ext cx="419100" cy="4191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41</row>
      <rowOff>171450</rowOff>
    </from>
    <ext cx="228600" cy="228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41</row>
      <rowOff>28575</rowOff>
    </from>
    <ext cx="419100" cy="4191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381000</colOff>
      <row>41</row>
      <rowOff>171450</rowOff>
    </from>
    <ext cx="228600" cy="228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41</row>
      <rowOff>28575</rowOff>
    </from>
    <ext cx="419100" cy="4191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381000</colOff>
      <row>41</row>
      <rowOff>171450</rowOff>
    </from>
    <ext cx="228600" cy="228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45</row>
      <rowOff>28575</rowOff>
    </from>
    <ext cx="419100" cy="4191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45</row>
      <rowOff>171450</rowOff>
    </from>
    <ext cx="228600" cy="228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45</row>
      <rowOff>28575</rowOff>
    </from>
    <ext cx="419100" cy="4191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45</row>
      <rowOff>171450</rowOff>
    </from>
    <ext cx="228600" cy="228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19050</colOff>
      <row>49</row>
      <rowOff>38100</rowOff>
    </from>
    <ext cx="2066925" cy="2857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50</row>
      <rowOff>28575</rowOff>
    </from>
    <ext cx="419100" cy="4191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50</row>
      <rowOff>171450</rowOff>
    </from>
    <ext cx="228600" cy="228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57150</colOff>
      <row>50</row>
      <rowOff>28575</rowOff>
    </from>
    <ext cx="419100" cy="4191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381000</colOff>
      <row>50</row>
      <rowOff>171450</rowOff>
    </from>
    <ext cx="228600" cy="228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57150</colOff>
      <row>50</row>
      <rowOff>28575</rowOff>
    </from>
    <ext cx="419100" cy="4191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381000</colOff>
      <row>50</row>
      <rowOff>171450</rowOff>
    </from>
    <ext cx="228600" cy="2286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57150</colOff>
      <row>50</row>
      <rowOff>28575</rowOff>
    </from>
    <ext cx="419100" cy="4191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381000</colOff>
      <row>50</row>
      <rowOff>171450</rowOff>
    </from>
    <ext cx="228600" cy="2286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</colOff>
      <row>54</row>
      <rowOff>28575</rowOff>
    </from>
    <ext cx="419100" cy="4191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381000</colOff>
      <row>54</row>
      <rowOff>171450</rowOff>
    </from>
    <ext cx="228600" cy="2286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28765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7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7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22</row>
      <rowOff>0</rowOff>
    </from>
    <ext cx="37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8</col>
      <colOff>0</colOff>
      <row>22</row>
      <rowOff>0</rowOff>
    </from>
    <ext cx="37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16</col>
      <colOff>0</colOff>
      <row>22</row>
      <rowOff>0</rowOff>
    </from>
    <ext cx="3600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</col>
      <colOff>0</colOff>
      <row>37</row>
      <rowOff>0</rowOff>
    </from>
    <ext cx="5580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12</col>
      <colOff>0</colOff>
      <row>37</row>
      <rowOff>0</rowOff>
    </from>
    <ext cx="5580000" cy="2592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</col>
      <colOff>19050</colOff>
      <row>0</row>
      <rowOff>38100</rowOff>
    </from>
    <ext cx="514350" cy="5143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476625" cy="4191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20</col>
      <colOff>0</colOff>
      <row>0</row>
      <rowOff>0</rowOff>
    </from>
    <ext cx="2571750" cy="7239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5052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962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123825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25146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14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619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42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4100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4100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4766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16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4000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23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4000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23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905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19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905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23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905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23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6099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6099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6386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6386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333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333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81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381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5435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5435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4102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4102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524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524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7054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70547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5434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5434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28384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4766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7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3619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15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8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8483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11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9.xml><?xml version="1.0" encoding="utf-8"?>
<wsDr xmlns="http://schemas.openxmlformats.org/drawingml/2006/spreadsheetDrawing">
  <oneCellAnchor>
    <from>
      <col>25</col>
      <colOff>0</colOff>
      <row>0</row>
      <rowOff>19050</rowOff>
    </from>
    <ext cx="2286000" cy="638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0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1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5905500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2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7434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3.xml><?xml version="1.0" encoding="utf-8"?>
<wsDr xmlns="http://schemas.openxmlformats.org/drawingml/2006/spreadsheetDrawing">
  <oneCellAnchor>
    <from>
      <col>1</col>
      <colOff>0</colOff>
      <row>1</row>
      <rowOff>0</rowOff>
    </from>
    <ext cx="8572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1</row>
      <rowOff>0</rowOff>
    </from>
    <ext cx="857250" cy="857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21</row>
      <rowOff>0</rowOff>
    </from>
    <ext cx="685800" cy="7810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4.xml><?xml version="1.0" encoding="utf-8"?>
<wsDr xmlns="http://schemas.openxmlformats.org/drawingml/2006/spreadsheetDrawing">
  <oneCellAnchor>
    <from>
      <col>1</col>
      <colOff>0</colOff>
      <row>1</row>
      <rowOff>0</rowOff>
    </from>
    <ext cx="8572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1</row>
      <rowOff>0</rowOff>
    </from>
    <ext cx="857250" cy="857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21</row>
      <rowOff>0</rowOff>
    </from>
    <ext cx="685800" cy="7810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857250" cy="8572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31</row>
      <rowOff>0</rowOff>
    </from>
    <ext cx="857250" cy="8572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51</row>
      <rowOff>0</rowOff>
    </from>
    <ext cx="685800" cy="7810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61</row>
      <rowOff>0</rowOff>
    </from>
    <ext cx="857250" cy="8572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61</row>
      <rowOff>0</rowOff>
    </from>
    <ext cx="857250" cy="8572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81</row>
      <rowOff>0</rowOff>
    </from>
    <ext cx="685800" cy="7810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91</row>
      <rowOff>0</rowOff>
    </from>
    <ext cx="857250" cy="8572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91</row>
      <rowOff>0</rowOff>
    </from>
    <ext cx="857250" cy="8572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111</row>
      <rowOff>0</rowOff>
    </from>
    <ext cx="685800" cy="7810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121</row>
      <rowOff>0</rowOff>
    </from>
    <ext cx="857250" cy="8572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121</row>
      <rowOff>0</rowOff>
    </from>
    <ext cx="857250" cy="8572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141</row>
      <rowOff>0</rowOff>
    </from>
    <ext cx="685800" cy="7810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5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28384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0</colOff>
      <row>0</row>
      <rowOff>0</rowOff>
    </from>
    <ext cx="25717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6.xml><?xml version="1.0" encoding="utf-8"?>
<wsDr xmlns="http://schemas.openxmlformats.org/drawingml/2006/spreadsheetDrawing">
  <oneCellAnchor>
    <from>
      <col>1</col>
      <colOff>19050</colOff>
      <row>0</row>
      <rowOff>38100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571500</colOff>
      <row>0</row>
      <rowOff>85725</rowOff>
    </from>
    <ext cx="48958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.me/KunTonKinder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m.me/KunTonKinder" TargetMode="External" Id="rId1"/><Relationship Type="http://schemas.openxmlformats.org/officeDocument/2006/relationships/hyperlink" Target="https://www.facebook.com/KunTonKinder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43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44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5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6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_rels/sheet48.xml.rels><Relationships xmlns="http://schemas.openxmlformats.org/package/2006/relationships"><Relationship Type="http://schemas.openxmlformats.org/officeDocument/2006/relationships/drawing" Target="/xl/drawings/drawing42.xml" Id="rId1"/></Relationships>
</file>

<file path=xl/worksheets/_rels/sheet51.xml.rels><Relationships xmlns="http://schemas.openxmlformats.org/package/2006/relationships"><Relationship Type="http://schemas.openxmlformats.org/officeDocument/2006/relationships/drawing" Target="/xl/drawings/drawing43.xml" Id="rId1"/></Relationships>
</file>

<file path=xl/worksheets/_rels/sheet52.xml.rels><Relationships xmlns="http://schemas.openxmlformats.org/package/2006/relationships"><Relationship Type="http://schemas.openxmlformats.org/officeDocument/2006/relationships/drawing" Target="/xl/drawings/drawing44.xml" Id="rId1"/></Relationships>
</file>

<file path=xl/worksheets/_rels/sheet53.xml.rels><Relationships xmlns="http://schemas.openxmlformats.org/package/2006/relationships"><Relationship Type="http://schemas.openxmlformats.org/officeDocument/2006/relationships/drawing" Target="/xl/drawings/drawing45.xml" Id="rId1"/></Relationships>
</file>

<file path=xl/worksheets/_rels/sheet55.xml.rels><Relationships xmlns="http://schemas.openxmlformats.org/package/2006/relationships"><Relationship Type="http://schemas.openxmlformats.org/officeDocument/2006/relationships/drawing" Target="/xl/drawings/drawing46.xml" Id="rId1"/></Relationships>
</file>

<file path=xl/worksheets/sheet1.xml><?xml version="1.0" encoding="utf-8"?>
<worksheet xmlns="http://schemas.openxmlformats.org/spreadsheetml/2006/main">
  <sheetPr>
    <tabColor rgb="00F47878"/>
    <outlinePr summaryBelow="1" summaryRight="1"/>
    <pageSetUpPr fitToPage="1"/>
  </sheetPr>
  <dimension ref="A1:N71"/>
  <sheetViews>
    <sheetView showGridLines="0" tabSelected="1" workbookViewId="0">
      <selection activeCell="A1" sqref="A1"/>
    </sheetView>
  </sheetViews>
  <sheetFormatPr baseColWidth="8" defaultRowHeight="15"/>
  <cols>
    <col width="2.5" customWidth="1" min="1" max="1"/>
    <col width="15" customWidth="1" min="2" max="2"/>
    <col width="15" customWidth="1" min="3" max="3"/>
    <col width="2.5" customWidth="1" min="4" max="4"/>
    <col width="15" customWidth="1" min="5" max="5"/>
    <col width="15" customWidth="1" min="6" max="6"/>
    <col width="2.5" customWidth="1" min="7" max="7"/>
    <col width="15" customWidth="1" min="8" max="8"/>
    <col width="15" customWidth="1" min="9" max="9"/>
    <col width="2.5" customWidth="1" min="10" max="10"/>
    <col width="15" customWidth="1" min="11" max="11"/>
    <col width="15" customWidth="1" min="12" max="12"/>
    <col width="2.5" customWidth="1" min="13" max="13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2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2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22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 ht="22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 ht="12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 ht="24" customHeight="1">
      <c r="A7" s="7" t="n"/>
      <c r="B7" s="8">
        <f>IF('ข้อมูลโรงเรียน'!$C$5="","เริ่มต้นที่ปุ่ม “ข้อมูลโรงเรียน” ด้านล่าง","โรงเรียน"&amp;'ข้อมูลโรงเรียน'!$C$5)</f>
        <v/>
      </c>
      <c r="G7" s="9">
        <f>"ปีการศึกษา "&amp;'ข้อมูลโรงเรียน'!$C$12&amp;"   •   ชั้น"&amp;'ข้อมูลโรงเรียน'!$C$7&amp;"/"&amp;'ข้อมูลโรงเรียน'!$C$8&amp;"   ครู"&amp;IF('ข้อมูลโรงเรียน'!$C$9="","...",'ข้อมูลโรงเรียน'!$C$9)</f>
        <v/>
      </c>
      <c r="N7" s="7" t="n"/>
    </row>
    <row r="8" ht="16" customHeight="1">
      <c r="A8" s="7" t="n"/>
      <c r="B8" s="10" t="inlineStr">
        <is>
          <t>เวอร์ชัน 1.0 ฉบับทดลองใช้ฟรี (5 คน)  •  ปรับปรุงล่าสุด ตุลาคม 2569  •  ติดต่อ / สั่งซื้อ: เพจ ใบงานสื่อการสอน อนุบาล Kun Ton  (คลิกเพื่อทักแชท)</t>
        </is>
      </c>
      <c r="N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</row>
    <row r="10" ht="22" customHeight="1">
      <c r="A10" s="7" t="n"/>
      <c r="B10" s="11" t="inlineStr">
        <is>
          <t>นักเรียนทั้งหมด</t>
        </is>
      </c>
      <c r="C10" s="12" t="n"/>
      <c r="D10" s="7" t="n"/>
      <c r="E10" s="13" t="inlineStr">
        <is>
          <t>นักเรียนชาย / หญิง</t>
        </is>
      </c>
      <c r="F10" s="14" t="n"/>
      <c r="G10" s="7" t="n"/>
      <c r="H10" s="15" t="inlineStr">
        <is>
          <t>มาเรียนเฉลี่ยทั้งปี</t>
        </is>
      </c>
      <c r="I10" s="16" t="n"/>
      <c r="J10" s="7" t="n"/>
      <c r="K10" s="17" t="inlineStr">
        <is>
          <t>เงินออมรวมทั้งห้อง</t>
        </is>
      </c>
      <c r="L10" s="18" t="n"/>
      <c r="M10" s="7" t="n"/>
      <c r="N10" s="7" t="n"/>
    </row>
    <row r="11" ht="34" customHeight="1">
      <c r="A11" s="7" t="n"/>
      <c r="B11" s="19">
        <f>COUNTIF('ข้อมูลนักเรียน'!$E$9:$E$13,"?*")&amp;" คน"</f>
        <v/>
      </c>
      <c r="C11" s="20" t="n"/>
      <c r="D11" s="7" t="n"/>
      <c r="E11" s="21">
        <f>COUNTIF('ข้อมูลนักเรียน'!$D$9:$D$13,"ด.ช.")&amp;" / "&amp;COUNTIF('ข้อมูลนักเรียน'!$D$9:$D$13,"ด.ญ.")</f>
        <v/>
      </c>
      <c r="F11" s="22" t="n"/>
      <c r="G11" s="7" t="n"/>
      <c r="H11" s="23">
        <f>IF(N('สรุปมาเรียน'!Z14)=0,"-",TEXT('สรุปมาเรียน'!Z14,"0.0%"))</f>
        <v/>
      </c>
      <c r="I11" s="24" t="n"/>
      <c r="J11" s="7" t="n"/>
      <c r="K11" s="25">
        <f>TEXT(N('สรุปออมเงิน'!Q14),"#,##0")&amp;" บาท"</f>
        <v/>
      </c>
      <c r="L11" s="26" t="n"/>
      <c r="M11" s="7" t="n"/>
      <c r="N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</row>
    <row r="13" hidden="1" ht="24" customHeight="1">
      <c r="A13" s="7" t="n"/>
      <c r="B13" s="27" t="inlineStr">
        <is>
          <t>🌈  เลือกเมนูที่ต้องการ (คลิกที่ปุ่ม)</t>
        </is>
      </c>
      <c r="N13" s="7" t="n"/>
    </row>
    <row r="14" ht="3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</row>
    <row r="15" ht="36" customHeight="1">
      <c r="A15" s="7" t="n"/>
      <c r="B15" s="28" t="n"/>
      <c r="C15" s="29" t="inlineStr"/>
      <c r="D15" s="7" t="n"/>
      <c r="E15" s="30" t="n"/>
      <c r="F15" s="31" t="inlineStr"/>
      <c r="G15" s="7" t="n"/>
      <c r="H15" s="32" t="n"/>
      <c r="I15" s="33" t="inlineStr"/>
      <c r="J15" s="7" t="n"/>
      <c r="K15" s="34" t="n"/>
      <c r="L15" s="35" t="inlineStr"/>
      <c r="M15" s="7" t="n"/>
      <c r="N15" s="7" t="n"/>
    </row>
    <row r="16" ht="26" customHeight="1">
      <c r="A16" s="7" t="n"/>
      <c r="B16" s="36" t="inlineStr">
        <is>
          <t>ข้อมูลโรงเรียน</t>
        </is>
      </c>
      <c r="C16" s="37" t="n"/>
      <c r="D16" s="7" t="n"/>
      <c r="E16" s="38" t="inlineStr">
        <is>
          <t>ข้อมูลนักเรียน</t>
        </is>
      </c>
      <c r="F16" s="39" t="n"/>
      <c r="G16" s="7" t="n"/>
      <c r="H16" s="40" t="inlineStr">
        <is>
          <t>แดชบอร์ด</t>
        </is>
      </c>
      <c r="I16" s="41" t="n"/>
      <c r="J16" s="7" t="n"/>
      <c r="K16" s="42" t="inlineStr">
        <is>
          <t>วิธีใช้งาน</t>
        </is>
      </c>
      <c r="L16" s="43" t="n"/>
      <c r="M16" s="7" t="n"/>
      <c r="N16" s="7" t="n"/>
    </row>
    <row r="17" ht="24" customHeight="1">
      <c r="A17" s="7" t="n"/>
      <c r="B17" s="44" t="inlineStr">
        <is>
          <t>▶  ตั้งค่า / วันหยุด</t>
        </is>
      </c>
      <c r="C17" s="45" t="n"/>
      <c r="D17" s="7" t="n"/>
      <c r="E17" s="46" t="inlineStr">
        <is>
          <t>▶  เปิดทะเบียนนักเรียน</t>
        </is>
      </c>
      <c r="F17" s="47" t="n"/>
      <c r="G17" s="7" t="n"/>
      <c r="H17" s="48" t="inlineStr">
        <is>
          <t>▶  ภาพรวมชั้นเรียน</t>
        </is>
      </c>
      <c r="I17" s="49" t="n"/>
      <c r="J17" s="7" t="n"/>
      <c r="K17" s="50" t="inlineStr">
        <is>
          <t>▶  อ่านคู่มือ</t>
        </is>
      </c>
      <c r="L17" s="51" t="n"/>
      <c r="M17" s="7" t="n"/>
      <c r="N17" s="7" t="n"/>
    </row>
    <row r="18" ht="9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 ht="3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</row>
    <row r="20" ht="36" customHeight="1">
      <c r="A20" s="7" t="n"/>
      <c r="B20" s="52" t="n"/>
      <c r="C20" s="53" t="inlineStr">
        <is>
          <t>แบบบันทึก</t>
        </is>
      </c>
      <c r="D20" s="7" t="n"/>
      <c r="E20" s="54" t="n"/>
      <c r="F20" s="55" t="inlineStr"/>
      <c r="G20" s="7" t="n"/>
      <c r="H20" s="30" t="n"/>
      <c r="I20" s="31" t="inlineStr">
        <is>
          <t>แบบบันทึก</t>
        </is>
      </c>
      <c r="J20" s="7" t="n"/>
      <c r="K20" s="56" t="n"/>
      <c r="L20" s="57" t="inlineStr">
        <is>
          <t>แบบบันทึก</t>
        </is>
      </c>
      <c r="M20" s="7" t="n"/>
      <c r="N20" s="7" t="n"/>
    </row>
    <row r="21" ht="26" customHeight="1">
      <c r="A21" s="7" t="n"/>
      <c r="B21" s="58" t="inlineStr">
        <is>
          <t>การมาเรียน</t>
        </is>
      </c>
      <c r="C21" s="59" t="n"/>
      <c r="D21" s="7" t="n"/>
      <c r="E21" s="60" t="inlineStr">
        <is>
          <t>สรุปการมาเรียน</t>
        </is>
      </c>
      <c r="F21" s="61" t="n"/>
      <c r="G21" s="7" t="n"/>
      <c r="H21" s="38" t="inlineStr">
        <is>
          <t>การดื่มนม</t>
        </is>
      </c>
      <c r="I21" s="39" t="n"/>
      <c r="J21" s="7" t="n"/>
      <c r="K21" s="62" t="inlineStr">
        <is>
          <t>การแปรงฟัน</t>
        </is>
      </c>
      <c r="L21" s="63" t="n"/>
      <c r="M21" s="7" t="n"/>
      <c r="N21" s="7" t="n"/>
    </row>
    <row r="22" ht="24" customHeight="1">
      <c r="A22" s="7" t="n"/>
      <c r="B22" s="64" t="inlineStr">
        <is>
          <t>▶ ภาคเรียนที่ 1</t>
        </is>
      </c>
      <c r="C22" s="65" t="inlineStr">
        <is>
          <t>▶ ภาคเรียนที่ 2</t>
        </is>
      </c>
      <c r="D22" s="7" t="n"/>
      <c r="E22" s="66" t="inlineStr">
        <is>
          <t>▶  สรุปทั้งปี</t>
        </is>
      </c>
      <c r="F22" s="67" t="n"/>
      <c r="G22" s="7" t="n"/>
      <c r="H22" s="46" t="inlineStr">
        <is>
          <t>▶ ภาคเรียนที่ 1</t>
        </is>
      </c>
      <c r="I22" s="68" t="inlineStr">
        <is>
          <t>▶ ภาคเรียนที่ 2</t>
        </is>
      </c>
      <c r="J22" s="7" t="n"/>
      <c r="K22" s="69" t="inlineStr">
        <is>
          <t>▶ ภาคเรียนที่ 1</t>
        </is>
      </c>
      <c r="L22" s="70" t="inlineStr">
        <is>
          <t>▶ ภาคเรียนที่ 2</t>
        </is>
      </c>
      <c r="M22" s="7" t="n"/>
      <c r="N22" s="7" t="n"/>
    </row>
    <row r="23" ht="9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</row>
    <row r="24" ht="36" customHeight="1">
      <c r="A24" s="7" t="n"/>
      <c r="B24" s="71" t="n"/>
      <c r="C24" s="72" t="inlineStr">
        <is>
          <t>แบบบันทึก</t>
        </is>
      </c>
      <c r="D24" s="7" t="n"/>
      <c r="E24" s="73" t="n"/>
      <c r="F24" s="74" t="inlineStr">
        <is>
          <t>แบบบันทึก</t>
        </is>
      </c>
      <c r="G24" s="7" t="n"/>
      <c r="H24" s="73" t="n"/>
      <c r="I24" s="74" t="inlineStr">
        <is>
          <t>แบบบันทึก</t>
        </is>
      </c>
      <c r="J24" s="7" t="n"/>
      <c r="K24" s="73" t="n"/>
      <c r="L24" s="74" t="inlineStr">
        <is>
          <t>แบบบันทึก</t>
        </is>
      </c>
      <c r="M24" s="7" t="n"/>
      <c r="N24" s="7" t="n"/>
    </row>
    <row r="25" ht="26" customHeight="1">
      <c r="A25" s="7" t="n"/>
      <c r="B25" s="75" t="inlineStr">
        <is>
          <t>อาหารกลางวัน</t>
        </is>
      </c>
      <c r="C25" s="76" t="n"/>
      <c r="D25" s="7" t="n"/>
      <c r="E25" s="77" t="inlineStr">
        <is>
          <t>นอนกลางวัน</t>
        </is>
      </c>
      <c r="F25" s="78" t="n"/>
      <c r="G25" s="7" t="n"/>
      <c r="H25" s="77" t="inlineStr">
        <is>
          <t>การขับถ่าย</t>
        </is>
      </c>
      <c r="I25" s="78" t="n"/>
      <c r="J25" s="7" t="n"/>
      <c r="K25" s="77" t="inlineStr">
        <is>
          <t>การออกกำลังกาย</t>
        </is>
      </c>
      <c r="L25" s="78" t="n"/>
      <c r="M25" s="7" t="n"/>
      <c r="N25" s="7" t="n"/>
    </row>
    <row r="26" ht="24" customHeight="1">
      <c r="A26" s="7" t="n"/>
      <c r="B26" s="79" t="inlineStr">
        <is>
          <t>▶ ภาคเรียนที่ 1</t>
        </is>
      </c>
      <c r="C26" s="80" t="inlineStr">
        <is>
          <t>▶ ภาคเรียนที่ 2</t>
        </is>
      </c>
      <c r="D26" s="7" t="n"/>
      <c r="E26" s="81" t="inlineStr">
        <is>
          <t>▶  มีในฉบับเต็ม  (คลิกดูรายละเอียด)</t>
        </is>
      </c>
      <c r="F26" s="82" t="n"/>
      <c r="G26" s="7" t="n"/>
      <c r="H26" s="81" t="inlineStr">
        <is>
          <t>▶  มีในฉบับเต็ม  (คลิกดูรายละเอียด)</t>
        </is>
      </c>
      <c r="I26" s="82" t="n"/>
      <c r="J26" s="7" t="n"/>
      <c r="K26" s="81" t="inlineStr">
        <is>
          <t>▶  มีในฉบับเต็ม  (คลิกดูรายละเอียด)</t>
        </is>
      </c>
      <c r="L26" s="82" t="n"/>
      <c r="M26" s="7" t="n"/>
      <c r="N26" s="7" t="n"/>
    </row>
    <row r="27" ht="9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</row>
    <row r="28" ht="36" customHeight="1">
      <c r="A28" s="7" t="n"/>
      <c r="B28" s="73" t="n"/>
      <c r="C28" s="74" t="inlineStr">
        <is>
          <t>แบบบันทึก</t>
        </is>
      </c>
      <c r="D28" s="7" t="n"/>
      <c r="E28" s="73" t="n"/>
      <c r="F28" s="74" t="inlineStr">
        <is>
          <t>แบบบันทึก</t>
        </is>
      </c>
      <c r="G28" s="7" t="n"/>
      <c r="H28" s="73" t="n"/>
      <c r="I28" s="74" t="inlineStr"/>
      <c r="J28" s="7" t="n"/>
      <c r="K28" s="73" t="n"/>
      <c r="L28" s="74" t="inlineStr"/>
      <c r="M28" s="7" t="n"/>
      <c r="N28" s="7" t="n"/>
    </row>
    <row r="29" ht="26" customHeight="1">
      <c r="A29" s="7" t="n"/>
      <c r="B29" s="77" t="inlineStr">
        <is>
          <t>กิจกรรมหน้าเสาธง</t>
        </is>
      </c>
      <c r="C29" s="78" t="n"/>
      <c r="D29" s="7" t="n"/>
      <c r="E29" s="77" t="inlineStr">
        <is>
          <t>การทำความสะอาด</t>
        </is>
      </c>
      <c r="F29" s="78" t="n"/>
      <c r="G29" s="7" t="n"/>
      <c r="H29" s="77" t="inlineStr">
        <is>
          <t>รับ - ส่งนักเรียน</t>
        </is>
      </c>
      <c r="I29" s="78" t="n"/>
      <c r="J29" s="7" t="n"/>
      <c r="K29" s="77" t="inlineStr">
        <is>
          <t>บันทึกรับ-ส่งพิเศษ</t>
        </is>
      </c>
      <c r="L29" s="78" t="n"/>
      <c r="M29" s="7" t="n"/>
      <c r="N29" s="7" t="n"/>
    </row>
    <row r="30" ht="24" customHeight="1">
      <c r="A30" s="7" t="n"/>
      <c r="B30" s="81" t="inlineStr">
        <is>
          <t>▶  มีในฉบับเต็ม  (คลิกดูรายละเอียด)</t>
        </is>
      </c>
      <c r="C30" s="82" t="n"/>
      <c r="D30" s="7" t="n"/>
      <c r="E30" s="81" t="inlineStr">
        <is>
          <t>▶  มีในฉบับเต็ม  (คลิกดูรายละเอียด)</t>
        </is>
      </c>
      <c r="F30" s="82" t="n"/>
      <c r="G30" s="7" t="n"/>
      <c r="H30" s="81" t="inlineStr">
        <is>
          <t>▶  มีในฉบับเต็ม  (คลิกดูรายละเอียด)</t>
        </is>
      </c>
      <c r="I30" s="82" t="n"/>
      <c r="J30" s="7" t="n"/>
      <c r="K30" s="81" t="inlineStr">
        <is>
          <t>▶  มีในฉบับเต็ม  (คลิกดูรายละเอียด)</t>
        </is>
      </c>
      <c r="L30" s="82" t="n"/>
      <c r="M30" s="7" t="n"/>
      <c r="N30" s="7" t="n"/>
    </row>
    <row r="31" ht="9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</row>
    <row r="32" ht="3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</row>
    <row r="33" ht="36" customHeight="1">
      <c r="A33" s="7" t="n"/>
      <c r="B33" s="73" t="n"/>
      <c r="C33" s="74" t="inlineStr">
        <is>
          <t>แบบบันทึก</t>
        </is>
      </c>
      <c r="D33" s="7" t="n"/>
      <c r="E33" s="83" t="n"/>
      <c r="F33" s="84" t="inlineStr">
        <is>
          <t>แบบบันทึก</t>
        </is>
      </c>
      <c r="G33" s="7" t="n"/>
      <c r="H33" s="73" t="n"/>
      <c r="I33" s="74" t="inlineStr">
        <is>
          <t>แบบบันทึก</t>
        </is>
      </c>
      <c r="J33" s="7" t="n"/>
      <c r="K33" s="73" t="n"/>
      <c r="L33" s="74" t="inlineStr"/>
      <c r="M33" s="7" t="n"/>
      <c r="N33" s="7" t="n"/>
    </row>
    <row r="34" ht="26" customHeight="1">
      <c r="A34" s="7" t="n"/>
      <c r="B34" s="77" t="inlineStr">
        <is>
          <t>ประเมินพัฒนาการ</t>
        </is>
      </c>
      <c r="C34" s="78" t="n"/>
      <c r="D34" s="7" t="n"/>
      <c r="E34" s="85" t="inlineStr">
        <is>
          <t>น้ำหนัก - ส่วนสูง</t>
        </is>
      </c>
      <c r="F34" s="86" t="n"/>
      <c r="G34" s="7" t="n"/>
      <c r="H34" s="77" t="inlineStr">
        <is>
          <t>การตรวจสุขภาพ</t>
        </is>
      </c>
      <c r="I34" s="78" t="n"/>
      <c r="J34" s="7" t="n"/>
      <c r="K34" s="77" t="inlineStr">
        <is>
          <t>คัดกรองนักเรียน</t>
        </is>
      </c>
      <c r="L34" s="78" t="n"/>
      <c r="M34" s="7" t="n"/>
      <c r="N34" s="7" t="n"/>
    </row>
    <row r="35" ht="24" customHeight="1">
      <c r="A35" s="7" t="n"/>
      <c r="B35" s="81" t="inlineStr">
        <is>
          <t>▶  มีในฉบับเต็ม  (คลิกดูรายละเอียด)</t>
        </is>
      </c>
      <c r="C35" s="82" t="n"/>
      <c r="D35" s="7" t="n"/>
      <c r="E35" s="87" t="inlineStr">
        <is>
          <t>▶  บันทึกรายเดือน</t>
        </is>
      </c>
      <c r="F35" s="88" t="n"/>
      <c r="G35" s="7" t="n"/>
      <c r="H35" s="81" t="inlineStr">
        <is>
          <t>▶  มีในฉบับเต็ม  (คลิกดูรายละเอียด)</t>
        </is>
      </c>
      <c r="I35" s="82" t="n"/>
      <c r="J35" s="7" t="n"/>
      <c r="K35" s="81" t="inlineStr">
        <is>
          <t>▶  มีในฉบับเต็ม  (คลิกดูรายละเอียด)</t>
        </is>
      </c>
      <c r="L35" s="82" t="n"/>
      <c r="M35" s="7" t="n"/>
      <c r="N35" s="7" t="n"/>
    </row>
    <row r="36" ht="9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</row>
    <row r="37" ht="36" customHeight="1">
      <c r="A37" s="7" t="n"/>
      <c r="B37" s="73" t="n"/>
      <c r="C37" s="74" t="inlineStr"/>
      <c r="D37" s="7" t="n"/>
      <c r="E37" s="73" t="n"/>
      <c r="F37" s="74" t="inlineStr"/>
      <c r="G37" s="7" t="n"/>
      <c r="H37" s="7" t="n"/>
      <c r="I37" s="7" t="n"/>
      <c r="J37" s="7" t="n"/>
      <c r="K37" s="7" t="n"/>
      <c r="L37" s="7" t="n"/>
      <c r="M37" s="7" t="n"/>
      <c r="N37" s="7" t="n"/>
    </row>
    <row r="38" ht="26" customHeight="1">
      <c r="A38" s="7" t="n"/>
      <c r="B38" s="77" t="inlineStr">
        <is>
          <t>เยี่ยมบ้าน</t>
        </is>
      </c>
      <c r="C38" s="78" t="n"/>
      <c r="D38" s="7" t="n"/>
      <c r="E38" s="77" t="inlineStr">
        <is>
          <t>สมุดรายงานประจำตัว</t>
        </is>
      </c>
      <c r="F38" s="78" t="n"/>
      <c r="G38" s="7" t="n"/>
      <c r="H38" s="7" t="n"/>
      <c r="I38" s="7" t="n"/>
      <c r="J38" s="7" t="n"/>
      <c r="K38" s="7" t="n"/>
      <c r="L38" s="7" t="n"/>
      <c r="M38" s="7" t="n"/>
      <c r="N38" s="7" t="n"/>
    </row>
    <row r="39" ht="24" customHeight="1">
      <c r="A39" s="7" t="n"/>
      <c r="B39" s="81" t="inlineStr">
        <is>
          <t>▶  มีในฉบับเต็ม  (คลิกดูรายละเอียด)</t>
        </is>
      </c>
      <c r="C39" s="82" t="n"/>
      <c r="D39" s="7" t="n"/>
      <c r="E39" s="81" t="inlineStr">
        <is>
          <t>▶  มีในฉบับเต็ม  (คลิกดูรายละเอียด)</t>
        </is>
      </c>
      <c r="F39" s="82" t="n"/>
      <c r="G39" s="7" t="n"/>
      <c r="H39" s="7" t="n"/>
      <c r="I39" s="7" t="n"/>
      <c r="J39" s="7" t="n"/>
      <c r="K39" s="7" t="n"/>
      <c r="L39" s="7" t="n"/>
      <c r="M39" s="7" t="n"/>
      <c r="N39" s="7" t="n"/>
    </row>
    <row r="40" ht="9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</row>
    <row r="41" ht="3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</row>
    <row r="42" ht="36" customHeight="1">
      <c r="A42" s="7" t="n"/>
      <c r="B42" s="73" t="n"/>
      <c r="C42" s="74" t="inlineStr"/>
      <c r="D42" s="7" t="n"/>
      <c r="E42" s="73" t="n"/>
      <c r="F42" s="74" t="inlineStr"/>
      <c r="G42" s="7" t="n"/>
      <c r="H42" s="73" t="n"/>
      <c r="I42" s="74" t="inlineStr"/>
      <c r="J42" s="7" t="n"/>
      <c r="K42" s="73" t="n"/>
      <c r="L42" s="74" t="inlineStr"/>
      <c r="M42" s="7" t="n"/>
      <c r="N42" s="7" t="n"/>
    </row>
    <row r="43" ht="26" customHeight="1">
      <c r="A43" s="7" t="n"/>
      <c r="B43" s="77" t="inlineStr">
        <is>
          <t>สมุดสื่อสารผู้ปกครอง</t>
        </is>
      </c>
      <c r="C43" s="78" t="n"/>
      <c r="D43" s="7" t="n"/>
      <c r="E43" s="77" t="inlineStr">
        <is>
          <t>พิมพ์รายงาน</t>
        </is>
      </c>
      <c r="F43" s="78" t="n"/>
      <c r="G43" s="7" t="n"/>
      <c r="H43" s="77" t="inlineStr">
        <is>
          <t>ป้ายชื่อ / บัตรนักเรียน</t>
        </is>
      </c>
      <c r="I43" s="78" t="n"/>
      <c r="J43" s="7" t="n"/>
      <c r="K43" s="77" t="inlineStr">
        <is>
          <t>เกียรติบัตร</t>
        </is>
      </c>
      <c r="L43" s="78" t="n"/>
      <c r="M43" s="7" t="n"/>
      <c r="N43" s="7" t="n"/>
    </row>
    <row r="44" ht="24" customHeight="1">
      <c r="A44" s="7" t="n"/>
      <c r="B44" s="81" t="inlineStr">
        <is>
          <t>▶  มีในฉบับเต็ม  (คลิกดูรายละเอียด)</t>
        </is>
      </c>
      <c r="C44" s="82" t="n"/>
      <c r="D44" s="7" t="n"/>
      <c r="E44" s="81" t="inlineStr">
        <is>
          <t>▶  มีในฉบับเต็ม  (คลิกดูรายละเอียด)</t>
        </is>
      </c>
      <c r="F44" s="82" t="n"/>
      <c r="G44" s="7" t="n"/>
      <c r="H44" s="81" t="inlineStr">
        <is>
          <t>▶  มีในฉบับเต็ม  (คลิกดูรายละเอียด)</t>
        </is>
      </c>
      <c r="I44" s="82" t="n"/>
      <c r="J44" s="7" t="n"/>
      <c r="K44" s="81" t="inlineStr">
        <is>
          <t>▶  มีในฉบับเต็ม  (คลิกดูรายละเอียด)</t>
        </is>
      </c>
      <c r="L44" s="82" t="n"/>
      <c r="M44" s="7" t="n"/>
      <c r="N44" s="7" t="n"/>
    </row>
    <row r="45" ht="9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</row>
    <row r="46" ht="36" customHeight="1">
      <c r="A46" s="7" t="n"/>
      <c r="B46" s="73" t="n"/>
      <c r="C46" s="74" t="inlineStr"/>
      <c r="D46" s="7" t="n"/>
      <c r="E46" s="73" t="n"/>
      <c r="F46" s="74" t="inlineStr"/>
      <c r="G46" s="7" t="n"/>
      <c r="H46" s="7" t="n"/>
      <c r="I46" s="7" t="n"/>
      <c r="J46" s="7" t="n"/>
      <c r="K46" s="7" t="n"/>
      <c r="L46" s="7" t="n"/>
      <c r="M46" s="7" t="n"/>
      <c r="N46" s="7" t="n"/>
    </row>
    <row r="47" ht="26" customHeight="1">
      <c r="A47" s="7" t="n"/>
      <c r="B47" s="77" t="inlineStr">
        <is>
          <t>วันเกิด / ใบรายชื่อ</t>
        </is>
      </c>
      <c r="C47" s="78" t="n"/>
      <c r="D47" s="7" t="n"/>
      <c r="E47" s="77" t="inlineStr">
        <is>
          <t>ยกข้อมูลปีถัดไป</t>
        </is>
      </c>
      <c r="F47" s="78" t="n"/>
      <c r="G47" s="7" t="n"/>
      <c r="H47" s="7" t="n"/>
      <c r="I47" s="7" t="n"/>
      <c r="J47" s="7" t="n"/>
      <c r="K47" s="7" t="n"/>
      <c r="L47" s="7" t="n"/>
      <c r="M47" s="7" t="n"/>
      <c r="N47" s="7" t="n"/>
    </row>
    <row r="48" ht="24" customHeight="1">
      <c r="A48" s="7" t="n"/>
      <c r="B48" s="81" t="inlineStr">
        <is>
          <t>▶  มีในฉบับเต็ม  (คลิกดูรายละเอียด)</t>
        </is>
      </c>
      <c r="C48" s="82" t="n"/>
      <c r="D48" s="7" t="n"/>
      <c r="E48" s="81" t="inlineStr">
        <is>
          <t>▶  มีในฉบับเต็ม  (คลิกดูรายละเอียด)</t>
        </is>
      </c>
      <c r="F48" s="82" t="n"/>
      <c r="G48" s="7" t="n"/>
      <c r="H48" s="7" t="n"/>
      <c r="I48" s="7" t="n"/>
      <c r="J48" s="7" t="n"/>
      <c r="K48" s="7" t="n"/>
      <c r="L48" s="7" t="n"/>
      <c r="M48" s="7" t="n"/>
      <c r="N48" s="7" t="n"/>
    </row>
    <row r="49" ht="9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</row>
    <row r="50" ht="3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</row>
    <row r="51" ht="36" customHeight="1">
      <c r="A51" s="7" t="n"/>
      <c r="B51" s="73" t="n"/>
      <c r="C51" s="74" t="inlineStr">
        <is>
          <t>แบบบันทึก</t>
        </is>
      </c>
      <c r="D51" s="7" t="n"/>
      <c r="E51" s="73" t="n"/>
      <c r="F51" s="74" t="inlineStr"/>
      <c r="G51" s="7" t="n"/>
      <c r="H51" s="73" t="n"/>
      <c r="I51" s="74" t="inlineStr"/>
      <c r="J51" s="7" t="n"/>
      <c r="K51" s="73" t="n"/>
      <c r="L51" s="74" t="inlineStr"/>
      <c r="M51" s="7" t="n"/>
      <c r="N51" s="7" t="n"/>
    </row>
    <row r="52" ht="26" customHeight="1">
      <c r="A52" s="7" t="n"/>
      <c r="B52" s="77" t="inlineStr">
        <is>
          <t>การออมเงิน</t>
        </is>
      </c>
      <c r="C52" s="78" t="n"/>
      <c r="D52" s="7" t="n"/>
      <c r="E52" s="77" t="inlineStr">
        <is>
          <t>ถอน / สรุปเงินออม</t>
        </is>
      </c>
      <c r="F52" s="78" t="n"/>
      <c r="G52" s="7" t="n"/>
      <c r="H52" s="77" t="inlineStr">
        <is>
          <t>งบอาหารกลางวัน / นม</t>
        </is>
      </c>
      <c r="I52" s="78" t="n"/>
      <c r="J52" s="7" t="n"/>
      <c r="K52" s="77" t="inlineStr">
        <is>
          <t>เงินอุดหนุนรายหัว</t>
        </is>
      </c>
      <c r="L52" s="78" t="n"/>
      <c r="M52" s="7" t="n"/>
      <c r="N52" s="7" t="n"/>
    </row>
    <row r="53" ht="24" customHeight="1">
      <c r="A53" s="7" t="n"/>
      <c r="B53" s="81" t="inlineStr">
        <is>
          <t>▶  มีในฉบับเต็ม  (คลิกดูรายละเอียด)</t>
        </is>
      </c>
      <c r="C53" s="82" t="n"/>
      <c r="D53" s="7" t="n"/>
      <c r="E53" s="81" t="inlineStr">
        <is>
          <t>▶  มีในฉบับเต็ม  (คลิกดูรายละเอียด)</t>
        </is>
      </c>
      <c r="F53" s="82" t="n"/>
      <c r="G53" s="7" t="n"/>
      <c r="H53" s="81" t="inlineStr">
        <is>
          <t>▶  มีในฉบับเต็ม  (คลิกดูรายละเอียด)</t>
        </is>
      </c>
      <c r="I53" s="82" t="n"/>
      <c r="J53" s="7" t="n"/>
      <c r="K53" s="81" t="inlineStr">
        <is>
          <t>▶  มีในฉบับเต็ม  (คลิกดูรายละเอียด)</t>
        </is>
      </c>
      <c r="L53" s="82" t="n"/>
      <c r="M53" s="7" t="n"/>
      <c r="N53" s="7" t="n"/>
    </row>
    <row r="54" ht="9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</row>
    <row r="55" ht="36" customHeight="1">
      <c r="A55" s="7" t="n"/>
      <c r="B55" s="73" t="n"/>
      <c r="C55" s="74" t="inlineStr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</row>
    <row r="56" ht="26" customHeight="1">
      <c r="A56" s="7" t="n"/>
      <c r="B56" s="77" t="inlineStr">
        <is>
          <t>บัญชีรายรับ - จ่าย</t>
        </is>
      </c>
      <c r="C56" s="78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</row>
    <row r="57" ht="24" customHeight="1">
      <c r="A57" s="7" t="n"/>
      <c r="B57" s="81" t="inlineStr">
        <is>
          <t>▶  มีในฉบับเต็ม  (คลิกดูรายละเอียด)</t>
        </is>
      </c>
      <c r="C57" s="82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</row>
    <row r="58" ht="9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</row>
    <row r="60" ht="20" customHeight="1">
      <c r="A60" s="7" t="n"/>
      <c r="B60" s="89" t="inlineStr">
        <is>
          <t>💗  ถึงคุณครูอนุบาลทุกคน
ขอบคุณที่ดูแลเด็ก ๆ ด้วยหัวใจ  ทุกวันที่คุณครูตั้งใจ คือรอยยิ้มและการเติบโตของเด็ก ๆ  ขอให้ไฟล์นี้ช่วยให้งานเอกสารเบาลง และมีเวลาให้เด็ก ๆ มากขึ้นนะคะ  🌷</t>
        </is>
      </c>
      <c r="C60" s="90" t="n"/>
      <c r="D60" s="90" t="n"/>
      <c r="E60" s="90" t="n"/>
      <c r="F60" s="90" t="n"/>
      <c r="G60" s="90" t="n"/>
      <c r="H60" s="90" t="n"/>
      <c r="I60" s="90" t="n"/>
      <c r="J60" s="90" t="n"/>
      <c r="K60" s="90" t="n"/>
      <c r="L60" s="90" t="n"/>
      <c r="M60" s="91" t="n"/>
      <c r="N60" s="7" t="n"/>
    </row>
    <row r="61" ht="20" customHeight="1">
      <c r="A61" s="7" t="n"/>
      <c r="B61" s="92" t="n"/>
      <c r="C61" s="93" t="n"/>
      <c r="D61" s="93" t="n"/>
      <c r="E61" s="93" t="n"/>
      <c r="F61" s="93" t="n"/>
      <c r="G61" s="93" t="n"/>
      <c r="H61" s="93" t="n"/>
      <c r="I61" s="93" t="n"/>
      <c r="J61" s="93" t="n"/>
      <c r="K61" s="93" t="n"/>
      <c r="L61" s="93" t="n"/>
      <c r="M61" s="94" t="n"/>
      <c r="N61" s="7" t="n"/>
    </row>
    <row r="62" ht="20" customHeight="1">
      <c r="A62" s="7" t="n"/>
      <c r="B62" s="95" t="n"/>
      <c r="C62" s="96" t="n"/>
      <c r="D62" s="96" t="n"/>
      <c r="E62" s="96" t="n"/>
      <c r="F62" s="96" t="n"/>
      <c r="G62" s="96" t="n"/>
      <c r="H62" s="96" t="n"/>
      <c r="I62" s="96" t="n"/>
      <c r="J62" s="96" t="n"/>
      <c r="K62" s="96" t="n"/>
      <c r="L62" s="96" t="n"/>
      <c r="M62" s="97" t="n"/>
      <c r="N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</row>
    <row r="64">
      <c r="A64" s="7" t="n"/>
      <c r="B64" s="98" t="inlineStr">
        <is>
          <t>ไม่ใช้มาโคร • เปิดได้ทั้ง Excel และ Google Sheets • ช่องสีเหลือง = ช่องที่ครูกรอก • เวอร์ชัน 1.0 ฉบับทดลองใช้ฟรี (5 คน)  •  ติดต่อ / แจ้งปัญหา / สั่งซื้อ: ทักแชทเพจ Facebook “ใบงานสื่อการสอน อนุบาล Kun Ton”  facebook.com/KunTonKinder</t>
        </is>
      </c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75">
    <mergeCell ref="K16:L16"/>
    <mergeCell ref="E43:F43"/>
    <mergeCell ref="H53:I53"/>
    <mergeCell ref="K30:L30"/>
    <mergeCell ref="B7:F7"/>
    <mergeCell ref="B16:C16"/>
    <mergeCell ref="K25:L25"/>
    <mergeCell ref="H35:I35"/>
    <mergeCell ref="B25:C25"/>
    <mergeCell ref="K34:L34"/>
    <mergeCell ref="H29:I29"/>
    <mergeCell ref="H10:I10"/>
    <mergeCell ref="B47:C47"/>
    <mergeCell ref="H43:I43"/>
    <mergeCell ref="B8:M8"/>
    <mergeCell ref="E52:F52"/>
    <mergeCell ref="B13:M13"/>
    <mergeCell ref="H44:I44"/>
    <mergeCell ref="E17:F17"/>
    <mergeCell ref="E48:F48"/>
    <mergeCell ref="E39:F39"/>
    <mergeCell ref="B56:C56"/>
    <mergeCell ref="B60:M62"/>
    <mergeCell ref="K26:L26"/>
    <mergeCell ref="K21:L21"/>
    <mergeCell ref="B39:C39"/>
    <mergeCell ref="E35:F35"/>
    <mergeCell ref="H25:I25"/>
    <mergeCell ref="B21:C21"/>
    <mergeCell ref="K11:L11"/>
    <mergeCell ref="H21:I21"/>
    <mergeCell ref="K29:L29"/>
    <mergeCell ref="H34:I34"/>
    <mergeCell ref="B11:C11"/>
    <mergeCell ref="E10:F10"/>
    <mergeCell ref="E29:F29"/>
    <mergeCell ref="K35:L35"/>
    <mergeCell ref="E38:F38"/>
    <mergeCell ref="B48:C48"/>
    <mergeCell ref="K44:L44"/>
    <mergeCell ref="B17:C17"/>
    <mergeCell ref="B57:C57"/>
    <mergeCell ref="H52:I52"/>
    <mergeCell ref="B53:C53"/>
    <mergeCell ref="H17:I17"/>
    <mergeCell ref="E34:F34"/>
    <mergeCell ref="E47:F47"/>
    <mergeCell ref="H11:I11"/>
    <mergeCell ref="B38:C38"/>
    <mergeCell ref="B44:C44"/>
    <mergeCell ref="E30:F30"/>
    <mergeCell ref="B29:C29"/>
    <mergeCell ref="K43:L43"/>
    <mergeCell ref="H16:I16"/>
    <mergeCell ref="B52:C52"/>
    <mergeCell ref="K52:L52"/>
    <mergeCell ref="B34:C34"/>
    <mergeCell ref="B10:C10"/>
    <mergeCell ref="E11:F11"/>
    <mergeCell ref="G7:M7"/>
    <mergeCell ref="B43:C43"/>
    <mergeCell ref="E44:F44"/>
    <mergeCell ref="E26:F26"/>
    <mergeCell ref="K17:L17"/>
    <mergeCell ref="B30:C30"/>
    <mergeCell ref="K53:L53"/>
    <mergeCell ref="E16:F16"/>
    <mergeCell ref="E25:F25"/>
    <mergeCell ref="K10:L10"/>
    <mergeCell ref="E22:F22"/>
    <mergeCell ref="E53:F53"/>
    <mergeCell ref="B35:C35"/>
    <mergeCell ref="H30:I30"/>
    <mergeCell ref="E21:F21"/>
    <mergeCell ref="H26:I26"/>
  </mergeCells>
  <hyperlinks>
    <hyperlink xmlns:r="http://schemas.openxmlformats.org/officeDocument/2006/relationships" ref="B8" r:id="rId1"/>
    <hyperlink ref="B16" location="'ข้อมูลโรงเรียน'!A1" display="ข้อมูลโรงเรียน"/>
    <hyperlink ref="E16" location="'ข้อมูลนักเรียน'!A1" display="ข้อมูลนักเรียน"/>
    <hyperlink ref="H16" location="'แดชบอร์ด'!A1" display="แดชบอร์ด"/>
    <hyperlink ref="K16" location="'วิธีใช้'!A1" display="วิธีใช้งาน"/>
    <hyperlink ref="B17" location="'ข้อมูลโรงเรียน'!A1" display="▶  ตั้งค่า / วันหยุด"/>
    <hyperlink ref="E17" location="'ข้อมูลนักเรียน'!A1" display="▶  เปิดทะเบียนนักเรียน"/>
    <hyperlink ref="H17" location="'แดชบอร์ด'!A1" display="▶  ภาพรวมชั้นเรียน"/>
    <hyperlink ref="K17" location="'วิธีใช้'!A1" display="▶  อ่านคู่มือ"/>
    <hyperlink ref="B21" location="'มาเรียน-ภ1'!A1" display="การมาเรียน"/>
    <hyperlink ref="E21" location="'สรุปมาเรียน'!A1" display="สรุปการมาเรียน"/>
    <hyperlink ref="H21" location="'ดื่มนม-ภ1'!A1" display="การดื่มนม"/>
    <hyperlink ref="K21" location="'แปรงฟัน-ภ1'!A1" display="การแปรงฟัน"/>
    <hyperlink ref="B22" location="'มาเรียน-ภ1'!A1" display="▶ ภาคเรียนที่ 1"/>
    <hyperlink ref="C22" location="'มาเรียน-ภ2'!A1" display="▶ ภาคเรียนที่ 2"/>
    <hyperlink ref="E22" location="'สรุปมาเรียน'!A1" display="▶  สรุปทั้งปี"/>
    <hyperlink ref="H22" location="'ดื่มนม-ภ1'!A1" display="▶ ภาคเรียนที่ 1"/>
    <hyperlink ref="I22" location="'ดื่มนม-ภ2'!A1" display="▶ ภาคเรียนที่ 2"/>
    <hyperlink ref="K22" location="'แปรงฟัน-ภ1'!A1" display="▶ ภาคเรียนที่ 1"/>
    <hyperlink ref="L22" location="'แปรงฟัน-ภ2'!A1" display="▶ ภาคเรียนที่ 2"/>
    <hyperlink ref="B25" location="'อาหารกลางวัน-ภ1'!A1" display="อาหารกลางวัน"/>
    <hyperlink ref="E25" location="'ฉบับเต็ม'!A1" display="นอนกลางวัน"/>
    <hyperlink ref="H25" location="'ฉบับเต็ม'!A1" display="การขับถ่าย"/>
    <hyperlink ref="K25" location="'ฉบับเต็ม'!A1" display="การออกกำลังกาย"/>
    <hyperlink ref="B26" location="'อาหารกลางวัน-ภ1'!A1" display="▶ ภาคเรียนที่ 1"/>
    <hyperlink ref="C26" location="'อาหารกลางวัน-ภ2'!A1" display="▶ ภาคเรียนที่ 2"/>
    <hyperlink ref="E26" location="'ฉบับเต็ม'!A1" display="▶  มีในฉบับเต็ม  (คลิกดูรายละเอียด)"/>
    <hyperlink ref="H26" location="'ฉบับเต็ม'!A1" display="▶  มีในฉบับเต็ม  (คลิกดูรายละเอียด)"/>
    <hyperlink ref="K26" location="'ฉบับเต็ม'!A1" display="▶  มีในฉบับเต็ม  (คลิกดูรายละเอียด)"/>
    <hyperlink ref="B29" location="'ฉบับเต็ม'!A1" display="กิจกรรมหน้าเสาธง"/>
    <hyperlink ref="E29" location="'ฉบับเต็ม'!A1" display="การทำความสะอาด"/>
    <hyperlink ref="H29" location="'ฉบับเต็ม'!A1" display="รับ - ส่งนักเรียน"/>
    <hyperlink ref="K29" location="'ฉบับเต็ม'!A1" display="บันทึกรับ-ส่งพิเศษ"/>
    <hyperlink ref="B30" location="'ฉบับเต็ม'!A1" display="▶  มีในฉบับเต็ม  (คลิกดูรายละเอียด)"/>
    <hyperlink ref="E30" location="'ฉบับเต็ม'!A1" display="▶  มีในฉบับเต็ม  (คลิกดูรายละเอียด)"/>
    <hyperlink ref="H30" location="'ฉบับเต็ม'!A1" display="▶  มีในฉบับเต็ม  (คลิกดูรายละเอียด)"/>
    <hyperlink ref="K30" location="'ฉบับเต็ม'!A1" display="▶  มีในฉบับเต็ม  (คลิกดูรายละเอียด)"/>
    <hyperlink ref="B34" location="'ฉบับเต็ม'!A1" display="ประเมินพัฒนาการ"/>
    <hyperlink ref="E34" location="'น้ำหนักส่วนสูง'!A1" display="น้ำหนัก - ส่วนสูง"/>
    <hyperlink ref="H34" location="'ฉบับเต็ม'!A1" display="การตรวจสุขภาพ"/>
    <hyperlink ref="K34" location="'ฉบับเต็ม'!A1" display="คัดกรองนักเรียน"/>
    <hyperlink ref="B35" location="'ฉบับเต็ม'!A1" display="▶  มีในฉบับเต็ม  (คลิกดูรายละเอียด)"/>
    <hyperlink ref="E35" location="'น้ำหนักส่วนสูง'!A1" display="▶  บันทึกรายเดือน"/>
    <hyperlink ref="H35" location="'ฉบับเต็ม'!A1" display="▶  มีในฉบับเต็ม  (คลิกดูรายละเอียด)"/>
    <hyperlink ref="K35" location="'ฉบับเต็ม'!A1" display="▶  มีในฉบับเต็ม  (คลิกดูรายละเอียด)"/>
    <hyperlink ref="B38" location="'ฉบับเต็ม'!A1" display="เยี่ยมบ้าน"/>
    <hyperlink ref="E38" location="'ฉบับเต็ม'!A1" display="สมุดรายงานประจำตัว"/>
    <hyperlink ref="B39" location="'ฉบับเต็ม'!A1" display="▶  มีในฉบับเต็ม  (คลิกดูรายละเอียด)"/>
    <hyperlink ref="E39" location="'ฉบับเต็ม'!A1" display="▶  มีในฉบับเต็ม  (คลิกดูรายละเอียด)"/>
    <hyperlink ref="B43" location="'ฉบับเต็ม'!A1" display="สมุดสื่อสารผู้ปกครอง"/>
    <hyperlink ref="E43" location="'ฉบับเต็ม'!A1" display="พิมพ์รายงาน"/>
    <hyperlink ref="H43" location="'ฉบับเต็ม'!A1" display="ป้ายชื่อ / บัตรนักเรียน"/>
    <hyperlink ref="K43" location="'ฉบับเต็ม'!A1" display="เกียรติบัตร"/>
    <hyperlink ref="B44" location="'ฉบับเต็ม'!A1" display="▶  มีในฉบับเต็ม  (คลิกดูรายละเอียด)"/>
    <hyperlink ref="E44" location="'ฉบับเต็ม'!A1" display="▶  มีในฉบับเต็ม  (คลิกดูรายละเอียด)"/>
    <hyperlink ref="H44" location="'ฉบับเต็ม'!A1" display="▶  มีในฉบับเต็ม  (คลิกดูรายละเอียด)"/>
    <hyperlink ref="K44" location="'ฉบับเต็ม'!A1" display="▶  มีในฉบับเต็ม  (คลิกดูรายละเอียด)"/>
    <hyperlink ref="B47" location="'ฉบับเต็ม'!A1" display="วันเกิด / ใบรายชื่อ"/>
    <hyperlink ref="E47" location="'ฉบับเต็ม'!A1" display="ยกข้อมูลปีถัดไป"/>
    <hyperlink ref="B48" location="'ฉบับเต็ม'!A1" display="▶  มีในฉบับเต็ม  (คลิกดูรายละเอียด)"/>
    <hyperlink ref="E48" location="'ฉบับเต็ม'!A1" display="▶  มีในฉบับเต็ม  (คลิกดูรายละเอียด)"/>
    <hyperlink ref="B52" location="'ฉบับเต็ม'!A1" display="การออมเงิน"/>
    <hyperlink ref="E52" location="'ฉบับเต็ม'!A1" display="ถอน / สรุปเงินออม"/>
    <hyperlink ref="H52" location="'ฉบับเต็ม'!A1" display="งบอาหารกลางวัน / นม"/>
    <hyperlink ref="K52" location="'ฉบับเต็ม'!A1" display="เงินอุดหนุนรายหัว"/>
    <hyperlink ref="B53" location="'ฉบับเต็ม'!A1" display="▶  มีในฉบับเต็ม  (คลิกดูรายละเอียด)"/>
    <hyperlink ref="E53" location="'ฉบับเต็ม'!A1" display="▶  มีในฉบับเต็ม  (คลิกดูรายละเอียด)"/>
    <hyperlink ref="H53" location="'ฉบับเต็ม'!A1" display="▶  มีในฉบับเต็ม  (คลิกดูรายละเอียด)"/>
    <hyperlink ref="K53" location="'ฉบับเต็ม'!A1" display="▶  มีในฉบับเต็ม  (คลิกดูรายละเอียด)"/>
    <hyperlink ref="B56" location="'ฉบับเต็ม'!A1" display="บัญชีรายรับ - จ่าย"/>
    <hyperlink ref="B57" location="'ฉบับเต็ม'!A1" display="▶  มีในฉบับเต็ม  (คลิกดูรายละเอียด)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EE80A6"/>
    <outlinePr summaryBelow="1" summaryRight="1"/>
    <pageSetUpPr fitToPage="1"/>
  </sheetPr>
  <dimension ref="A1:L18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16" customWidth="1" min="3" max="3"/>
    <col width="16" customWidth="1" min="4" max="4"/>
    <col width="4" customWidth="1" min="5" max="5"/>
    <col width="32" customWidth="1" min="6" max="6"/>
    <col width="32" customWidth="1" min="7" max="7"/>
  </cols>
  <sheetData>
    <row r="1" ht="48" customHeight="1">
      <c r="A1" s="99" t="inlineStr">
        <is>
          <t>🏠</t>
        </is>
      </c>
      <c r="B1" s="100" t="n"/>
      <c r="C1" s="100" t="n"/>
      <c r="D1" s="100" t="n"/>
      <c r="E1" s="100" t="n"/>
      <c r="F1" s="100" t="n"/>
      <c r="G1" s="100" t="n"/>
      <c r="H1" s="100" t="n"/>
      <c r="I1" s="100" t="n"/>
      <c r="J1" s="100" t="n"/>
      <c r="K1" s="100" t="n"/>
      <c r="L1" s="100" t="n"/>
    </row>
    <row r="2" ht="20" customHeight="1">
      <c r="A2" s="101" t="inlineStr">
        <is>
          <t>หน้าหลัก</t>
        </is>
      </c>
      <c r="B2" s="102" t="inlineStr">
        <is>
          <t>ปลดล็อกทุกฟังก์ชัน และบันทึกนักเรียนได้ 60 คน</t>
        </is>
      </c>
      <c r="C2" s="103" t="n"/>
      <c r="D2" s="103" t="n"/>
      <c r="E2" s="103" t="n"/>
      <c r="F2" s="103" t="n"/>
      <c r="G2" s="103" t="n"/>
      <c r="H2" s="103" t="n"/>
      <c r="I2" s="103" t="n"/>
      <c r="J2" s="103" t="n"/>
      <c r="K2" s="103" t="n"/>
      <c r="L2" s="103" t="n"/>
    </row>
    <row r="3"/>
    <row r="4">
      <c r="B4" s="104" t="inlineStr">
        <is>
          <t>ฟังก์ชัน</t>
        </is>
      </c>
      <c r="C4" s="104" t="inlineStr">
        <is>
          <t>ทดลองใช้ฟรี</t>
        </is>
      </c>
      <c r="D4" s="104" t="inlineStr">
        <is>
          <t>ฉบับเต็ม</t>
        </is>
      </c>
      <c r="F4" s="105" t="inlineStr">
        <is>
          <t>ฉบับเต็ม (ไฟล์นี้)</t>
        </is>
      </c>
      <c r="G4" s="106" t="inlineStr">
        <is>
          <t>สมาชิก VIP</t>
        </is>
      </c>
    </row>
    <row r="5" ht="34" customHeight="1">
      <c r="B5" s="107" t="inlineStr">
        <is>
          <t>จำนวนนักเรียนต่อห้อง</t>
        </is>
      </c>
      <c r="C5" s="108" t="inlineStr">
        <is>
          <t>5 คน</t>
        </is>
      </c>
      <c r="D5" s="109" t="inlineStr">
        <is>
          <t>60 คน</t>
        </is>
      </c>
      <c r="F5" s="110" t="inlineStr">
        <is>
          <t>120 บาท</t>
        </is>
      </c>
      <c r="G5" s="111" t="inlineStr">
        <is>
          <t>199 บาท</t>
        </is>
      </c>
    </row>
    <row r="6" ht="22" customHeight="1">
      <c r="B6" s="112" t="inlineStr">
        <is>
          <t>ข้อมูลโรงเรียน / ทะเบียนนักเรียน / วันหยุด</t>
        </is>
      </c>
      <c r="C6" s="113" t="inlineStr">
        <is>
          <t>✓</t>
        </is>
      </c>
      <c r="D6" s="109" t="inlineStr">
        <is>
          <t>✓</t>
        </is>
      </c>
      <c r="F6" s="114" t="inlineStr">
        <is>
          <t>✓  ครบทุกฟังก์ชัน</t>
        </is>
      </c>
      <c r="G6" s="115" t="inlineStr">
        <is>
          <t>✓  จ่ายครั้งเดียว ใช้ได้ตลอดชีพ</t>
        </is>
      </c>
    </row>
    <row r="7" ht="22" customHeight="1">
      <c r="B7" s="107" t="inlineStr">
        <is>
          <t>เช็คชื่อการมาเรียน + สรุปทั้งปี</t>
        </is>
      </c>
      <c r="C7" s="108" t="inlineStr">
        <is>
          <t>✓</t>
        </is>
      </c>
      <c r="D7" s="109" t="inlineStr">
        <is>
          <t>✓</t>
        </is>
      </c>
      <c r="F7" s="114" t="inlineStr">
        <is>
          <t>✓  นักเรียน 60 คนต่อห้อง</t>
        </is>
      </c>
      <c r="G7" s="115" t="inlineStr">
        <is>
          <t>✓  ดาวน์โหลดได้ทุกไฟล์ในกลุ่ม</t>
        </is>
      </c>
    </row>
    <row r="8" ht="22" customHeight="1">
      <c r="B8" s="112" t="inlineStr">
        <is>
          <t>ดื่มนม  แปรงฟัน  อาหารกลางวัน</t>
        </is>
      </c>
      <c r="C8" s="113" t="inlineStr">
        <is>
          <t>✓</t>
        </is>
      </c>
      <c r="D8" s="109" t="inlineStr">
        <is>
          <t>✓</t>
        </is>
      </c>
      <c r="F8" s="114" t="inlineStr">
        <is>
          <t>✓  ใช้ได้ทั้ง Excel และ Google Sheets</t>
        </is>
      </c>
      <c r="G8" s="115" t="inlineStr">
        <is>
          <t>✓  รวมไฟล์ระบบธุรการนี้ด้วย</t>
        </is>
      </c>
    </row>
    <row r="9" ht="22" customHeight="1">
      <c r="B9" s="107" t="inlineStr">
        <is>
          <t>น้ำหนัก-ส่วนสูง + ประเมินภาวะโภชนาการอัตโนมัติ</t>
        </is>
      </c>
      <c r="C9" s="108" t="inlineStr">
        <is>
          <t>✓</t>
        </is>
      </c>
      <c r="D9" s="109" t="inlineStr">
        <is>
          <t>✓</t>
        </is>
      </c>
    </row>
    <row r="10" ht="22" customHeight="1">
      <c r="B10" s="112" t="inlineStr">
        <is>
          <t>แดชบอร์ดกราฟ</t>
        </is>
      </c>
      <c r="C10" s="113" t="inlineStr">
        <is>
          <t>✓</t>
        </is>
      </c>
      <c r="D10" s="109" t="inlineStr">
        <is>
          <t>✓</t>
        </is>
      </c>
      <c r="F10" s="116" t="inlineStr">
        <is>
          <t>สั่งซื้อ / สมัครสมาชิก VIP  (คลิกเพื่อทักแชท)
เพจ ใบงานสื่อการสอน อนุบาล Kun Ton</t>
        </is>
      </c>
    </row>
    <row r="11" ht="22" customHeight="1">
      <c r="B11" s="107" t="inlineStr">
        <is>
          <t>นอนกลางวัน  ขับถ่าย  ออกกำลังกาย  หน้าเสาธง  ทำความสะอาด</t>
        </is>
      </c>
      <c r="C11" s="117" t="inlineStr">
        <is>
          <t>🔒</t>
        </is>
      </c>
      <c r="D11" s="109" t="inlineStr">
        <is>
          <t>✓</t>
        </is>
      </c>
    </row>
    <row r="12" ht="22" customHeight="1">
      <c r="B12" s="112" t="inlineStr">
        <is>
          <t>ประเมินพัฒนาการ 4 ด้าน (หลักสูตรปฐมวัย 2560)</t>
        </is>
      </c>
      <c r="C12" s="118" t="inlineStr">
        <is>
          <t>🔒</t>
        </is>
      </c>
      <c r="D12" s="109" t="inlineStr">
        <is>
          <t>✓</t>
        </is>
      </c>
      <c r="F12" s="119" t="inlineStr">
        <is>
          <t>facebook.com/KunTonKinder</t>
        </is>
      </c>
    </row>
    <row r="13" ht="22" customHeight="1">
      <c r="B13" s="107" t="inlineStr">
        <is>
          <t>สมุดรายงานประจำตัวนักเรียน (สมุดพก) รายคน / ทั้งห้อง</t>
        </is>
      </c>
      <c r="C13" s="117" t="inlineStr">
        <is>
          <t>🔒</t>
        </is>
      </c>
      <c r="D13" s="109" t="inlineStr">
        <is>
          <t>✓</t>
        </is>
      </c>
      <c r="F13" s="120" t="inlineStr">
        <is>
          <t>หลังชำระเงิน รับไฟล์ฉบับเต็มทางแชท</t>
        </is>
      </c>
    </row>
    <row r="14" ht="22" customHeight="1">
      <c r="B14" s="112" t="inlineStr">
        <is>
          <t>ตรวจสุขภาพ  คัดกรองนักเรียน  เยี่ยมบ้าน</t>
        </is>
      </c>
      <c r="C14" s="118" t="inlineStr">
        <is>
          <t>🔒</t>
        </is>
      </c>
      <c r="D14" s="109" t="inlineStr">
        <is>
          <t>✓</t>
        </is>
      </c>
      <c r="F14" s="120" t="inlineStr">
        <is>
          <t>รายชื่อนักเรียนที่กรอกไว้ คัดลอกไปวางในฉบับเต็มได้ (วางแบบเฉพาะค่า)</t>
        </is>
      </c>
    </row>
    <row r="15" ht="22" customHeight="1">
      <c r="B15" s="107" t="inlineStr">
        <is>
          <t>ระบบรับ-ส่งนักเรียน  สมุดสื่อสารผู้ปกครอง</t>
        </is>
      </c>
      <c r="C15" s="117" t="inlineStr">
        <is>
          <t>🔒</t>
        </is>
      </c>
      <c r="D15" s="109" t="inlineStr">
        <is>
          <t>✓</t>
        </is>
      </c>
    </row>
    <row r="16" ht="22" customHeight="1">
      <c r="B16" s="112" t="inlineStr">
        <is>
          <t>ออมเงิน  งบอาหาร/นม  เงินอุดหนุน  บัญชีรายรับ-จ่าย</t>
        </is>
      </c>
      <c r="C16" s="118" t="inlineStr">
        <is>
          <t>🔒</t>
        </is>
      </c>
      <c r="D16" s="109" t="inlineStr">
        <is>
          <t>✓</t>
        </is>
      </c>
    </row>
    <row r="17" ht="22" customHeight="1">
      <c r="B17" s="107" t="inlineStr">
        <is>
          <t>ป้ายชื่อ  บัตรนักเรียน  เกียรติบัตร  ปฏิทินวันเกิด</t>
        </is>
      </c>
      <c r="C17" s="117" t="inlineStr">
        <is>
          <t>🔒</t>
        </is>
      </c>
      <c r="D17" s="109" t="inlineStr">
        <is>
          <t>✓</t>
        </is>
      </c>
    </row>
    <row r="18" ht="22" customHeight="1">
      <c r="B18" s="112" t="inlineStr">
        <is>
          <t>หน้าพิมพ์รายงาน  ยกข้อมูลไปปีถัดไป</t>
        </is>
      </c>
      <c r="C18" s="118" t="inlineStr">
        <is>
          <t>🔒</t>
        </is>
      </c>
      <c r="D18" s="109" t="inlineStr">
        <is>
          <t>✓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">
    <mergeCell ref="F12:G12"/>
    <mergeCell ref="F10:G11"/>
  </mergeCells>
  <hyperlinks>
    <hyperlink ref="A1" location="'หน้าหลัก'!A1" display="🏠"/>
    <hyperlink ref="A2" location="'หน้าหลัก'!A1" display="หน้าหลัก"/>
    <hyperlink xmlns:r="http://schemas.openxmlformats.org/officeDocument/2006/relationships" ref="F10" r:id="rId1"/>
    <hyperlink xmlns:r="http://schemas.openxmlformats.org/officeDocument/2006/relationships" ref="F12" r:id="rId2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tabColor rgb="0060A5E2"/>
    <outlinePr summaryBelow="1" summaryRight="1"/>
    <pageSetUpPr fitToPage="1"/>
  </sheetPr>
  <dimension ref="A1:Z95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</cols>
  <sheetData>
    <row r="1" ht="48" customHeight="1">
      <c r="A1" s="121" t="inlineStr">
        <is>
          <t>🏠</t>
        </is>
      </c>
      <c r="B1" s="122" t="n"/>
      <c r="C1" s="122" t="n"/>
      <c r="D1" s="122" t="n"/>
      <c r="E1" s="122" t="n"/>
      <c r="F1" s="122" t="n"/>
      <c r="G1" s="122" t="n"/>
      <c r="H1" s="122" t="n"/>
      <c r="I1" s="122" t="n"/>
      <c r="J1" s="122" t="n"/>
      <c r="K1" s="122" t="n"/>
      <c r="L1" s="122" t="n"/>
      <c r="M1" s="122" t="n"/>
      <c r="N1" s="122" t="n"/>
      <c r="O1" s="122" t="n"/>
      <c r="P1" s="122" t="n"/>
      <c r="Q1" s="122" t="n"/>
      <c r="R1" s="122" t="n"/>
      <c r="S1" s="122" t="n"/>
      <c r="T1" s="122" t="n"/>
      <c r="U1" s="122" t="n"/>
      <c r="V1" s="122" t="n"/>
      <c r="W1" s="122" t="n"/>
      <c r="X1" s="122" t="n"/>
      <c r="Y1" s="122" t="n"/>
      <c r="Z1" s="122" t="n"/>
    </row>
    <row r="2" ht="20" customHeight="1">
      <c r="A2" s="123" t="inlineStr">
        <is>
          <t>หน้าหลัก</t>
        </is>
      </c>
      <c r="B2" s="124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25" t="n"/>
      <c r="D2" s="125" t="n"/>
      <c r="E2" s="125" t="n"/>
      <c r="F2" s="125" t="n"/>
      <c r="G2" s="125" t="n"/>
      <c r="H2" s="125" t="n"/>
      <c r="I2" s="125" t="n"/>
      <c r="J2" s="125" t="n"/>
      <c r="K2" s="125" t="n"/>
      <c r="L2" s="125" t="n"/>
      <c r="M2" s="125" t="n"/>
      <c r="N2" s="125" t="n"/>
      <c r="O2" s="125" t="n"/>
      <c r="P2" s="125" t="n"/>
      <c r="Q2" s="125" t="n"/>
      <c r="R2" s="125" t="n"/>
      <c r="S2" s="125" t="n"/>
      <c r="T2" s="125" t="n"/>
      <c r="U2" s="125" t="n"/>
      <c r="V2" s="125" t="n"/>
      <c r="W2" s="125" t="n"/>
      <c r="X2" s="125" t="n"/>
      <c r="Y2" s="125" t="n"/>
      <c r="Z2" s="125" t="n"/>
    </row>
    <row r="3"/>
    <row r="4" ht="20" customHeight="1">
      <c r="B4" s="126" t="inlineStr">
        <is>
          <t>นักเรียน (คน)</t>
        </is>
      </c>
      <c r="C4" s="127" t="n"/>
      <c r="D4" s="127" t="n"/>
      <c r="E4" s="127" t="n"/>
      <c r="G4" s="128" t="inlineStr">
        <is>
          <t>มาเรียนเฉลี่ยทั้งปี</t>
        </is>
      </c>
      <c r="H4" s="129" t="n"/>
      <c r="I4" s="129" t="n"/>
      <c r="J4" s="129" t="n"/>
      <c r="L4" s="130" t="inlineStr">
        <is>
          <t>เยี่ยมบ้านแล้ว</t>
        </is>
      </c>
      <c r="M4" s="131" t="n"/>
      <c r="N4" s="131" t="n"/>
      <c r="O4" s="131" t="n"/>
      <c r="Q4" s="132" t="inlineStr">
        <is>
          <t>กลุ่มเสี่ยง + มีปัญหา (คน)</t>
        </is>
      </c>
      <c r="R4" s="133" t="n"/>
      <c r="S4" s="133" t="n"/>
      <c r="T4" s="133" t="n"/>
      <c r="V4" s="134" t="inlineStr">
        <is>
          <t>เงินออมรวม (บาท)</t>
        </is>
      </c>
      <c r="W4" s="135" t="n"/>
      <c r="X4" s="135" t="n"/>
      <c r="Y4" s="135" t="n"/>
    </row>
    <row r="5" ht="22" customHeight="1">
      <c r="B5" s="136">
        <f>COUNTIF('ข้อมูลนักเรียน'!$E$9:$E$13,"?*")</f>
        <v/>
      </c>
      <c r="C5" s="137" t="n"/>
      <c r="D5" s="137" t="n"/>
      <c r="E5" s="137" t="n"/>
      <c r="G5" s="138">
        <f>IF(N('สรุปมาเรียน'!Z14)=0,"-",'สรุปมาเรียน'!Z14)</f>
        <v/>
      </c>
      <c r="H5" s="137" t="n"/>
      <c r="I5" s="137" t="n"/>
      <c r="J5" s="137" t="n"/>
      <c r="L5" s="139">
        <f>IFERROR(COUNTIF('เยี่ยมบ้าน'!$T$9:$T$13,"✓ เยี่ยมแล้ว")/COUNTIF('ข้อมูลนักเรียน'!$E$9:$E$13,"?*"),"-")</f>
        <v/>
      </c>
      <c r="M5" s="137" t="n"/>
      <c r="N5" s="137" t="n"/>
      <c r="O5" s="137" t="n"/>
      <c r="Q5" s="140">
        <f>N('คัดกรองนักเรียน'!F23)+N('คัดกรองนักเรียน'!H23)</f>
        <v/>
      </c>
      <c r="R5" s="137" t="n"/>
      <c r="S5" s="137" t="n"/>
      <c r="T5" s="137" t="n"/>
      <c r="V5" s="141">
        <f>N('สรุปออมเงิน'!Q14)</f>
        <v/>
      </c>
      <c r="W5" s="137" t="n"/>
      <c r="X5" s="137" t="n"/>
      <c r="Y5" s="137" t="n"/>
    </row>
    <row r="6" ht="22" customHeight="1">
      <c r="B6" s="137" t="n"/>
      <c r="C6" s="137" t="n"/>
      <c r="D6" s="137" t="n"/>
      <c r="E6" s="137" t="n"/>
      <c r="G6" s="137" t="n"/>
      <c r="H6" s="137" t="n"/>
      <c r="I6" s="137" t="n"/>
      <c r="J6" s="137" t="n"/>
      <c r="L6" s="137" t="n"/>
      <c r="M6" s="137" t="n"/>
      <c r="N6" s="137" t="n"/>
      <c r="O6" s="137" t="n"/>
      <c r="Q6" s="137" t="n"/>
      <c r="R6" s="137" t="n"/>
      <c r="S6" s="137" t="n"/>
      <c r="T6" s="137" t="n"/>
      <c r="V6" s="137" t="n"/>
      <c r="W6" s="137" t="n"/>
      <c r="X6" s="137" t="n"/>
      <c r="Y6" s="137" t="n"/>
    </row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>
      <c r="B60" s="142" t="inlineStr">
        <is>
          <t>ตารางข้อมูลประกอบกราฟ (คำนวณอัตโนมัติ)</t>
        </is>
      </c>
    </row>
    <row r="61"/>
    <row r="62">
      <c r="B62" s="143" t="inlineStr">
        <is>
          <t>เดือน</t>
        </is>
      </c>
      <c r="C62" s="143" t="inlineStr">
        <is>
          <t>มาเรียน %</t>
        </is>
      </c>
      <c r="D62" s="143" t="inlineStr">
        <is>
          <t>ดื่มนม %</t>
        </is>
      </c>
      <c r="E62" s="143" t="inlineStr">
        <is>
          <t>แปรงฟัน %</t>
        </is>
      </c>
      <c r="F62" s="143" t="inlineStr">
        <is>
          <t>ทานหมด %</t>
        </is>
      </c>
      <c r="G62" s="143" t="inlineStr">
        <is>
          <t>นอนหลับ %</t>
        </is>
      </c>
      <c r="H62" s="143" t="inlineStr">
        <is>
          <t>ออกกำลังกาย %</t>
        </is>
      </c>
      <c r="I62" s="143" t="inlineStr">
        <is>
          <t>เงินฝาก (บาท)</t>
        </is>
      </c>
      <c r="J62" s="143" t="inlineStr">
        <is>
          <t>สูงดีสมส่วน %</t>
        </is>
      </c>
    </row>
    <row r="63">
      <c r="B63" s="144" t="inlineStr">
        <is>
          <t>พ.ค.</t>
        </is>
      </c>
      <c r="C63" s="145">
        <f>IFERROR(N('มาเรียน-ภ1'!AI14)/(N('มาเรียน-ภ1'!AI14)+N('มาเรียน-ภ1'!AJ14)+N('มาเรียน-ภ1'!AK14)),"")</f>
        <v/>
      </c>
      <c r="D63" s="145">
        <f>IFERROR(N('ดื่มนม-ภ1'!AI14)/(N('ดื่มนม-ภ1'!AI14)+N('ดื่มนม-ภ1'!AJ14)),"")</f>
        <v/>
      </c>
      <c r="E63" s="145">
        <f>IFERROR(N('แปรงฟัน-ภ1'!AI14)/(N('แปรงฟัน-ภ1'!AI14)+N('แปรงฟัน-ภ1'!AJ14)),"")</f>
        <v/>
      </c>
      <c r="F63" s="145">
        <f>IFERROR(N('อาหารกลางวัน-ภ1'!AI14)/(N('อาหารกลางวัน-ภ1'!AI14)+N('อาหารกลางวัน-ภ1'!AJ14)+N('อาหารกลางวัน-ภ1'!AK14)),"")</f>
        <v/>
      </c>
      <c r="G63" s="145">
        <f>IFERROR(N('นอนกลางวัน-ภ1'!AI14)/(N('นอนกลางวัน-ภ1'!AI14)+N('นอนกลางวัน-ภ1'!AJ14)+N('นอนกลางวัน-ภ1'!AK14)),"")</f>
        <v/>
      </c>
      <c r="H63" s="145">
        <f>IFERROR(N('ออกกำลังกาย-ภ1'!AI14)/(N('ออกกำลังกาย-ภ1'!AI14)+N('ออกกำลังกาย-ภ1'!AJ14)),"")</f>
        <v/>
      </c>
      <c r="I63" s="146">
        <f>N('ออมเงิน-ภ1'!AI14)</f>
        <v/>
      </c>
      <c r="J63" s="145">
        <f>IF('น้ำหนักส่วนสูง'!G31="","",'น้ำหนักส่วนสูง'!G31)</f>
        <v/>
      </c>
    </row>
    <row r="64">
      <c r="B64" s="144" t="inlineStr">
        <is>
          <t>มิ.ย.</t>
        </is>
      </c>
      <c r="C64" s="145">
        <f>IFERROR(N('มาเรียน-ภ1'!BQ14)/(N('มาเรียน-ภ1'!BQ14)+N('มาเรียน-ภ1'!BR14)+N('มาเรียน-ภ1'!BS14)),"")</f>
        <v/>
      </c>
      <c r="D64" s="145">
        <f>IFERROR(N('ดื่มนม-ภ1'!BQ14)/(N('ดื่มนม-ภ1'!BQ14)+N('ดื่มนม-ภ1'!BR14)),"")</f>
        <v/>
      </c>
      <c r="E64" s="145">
        <f>IFERROR(N('แปรงฟัน-ภ1'!BQ14)/(N('แปรงฟัน-ภ1'!BQ14)+N('แปรงฟัน-ภ1'!BR14)),"")</f>
        <v/>
      </c>
      <c r="F64" s="145">
        <f>IFERROR(N('อาหารกลางวัน-ภ1'!BQ14)/(N('อาหารกลางวัน-ภ1'!BQ14)+N('อาหารกลางวัน-ภ1'!BR14)+N('อาหารกลางวัน-ภ1'!BS14)),"")</f>
        <v/>
      </c>
      <c r="G64" s="145">
        <f>IFERROR(N('นอนกลางวัน-ภ1'!BQ14)/(N('นอนกลางวัน-ภ1'!BQ14)+N('นอนกลางวัน-ภ1'!BR14)+N('นอนกลางวัน-ภ1'!BS14)),"")</f>
        <v/>
      </c>
      <c r="H64" s="145">
        <f>IFERROR(N('ออกกำลังกาย-ภ1'!BQ14)/(N('ออกกำลังกาย-ภ1'!BQ14)+N('ออกกำลังกาย-ภ1'!BR14)),"")</f>
        <v/>
      </c>
      <c r="I64" s="146">
        <f>N('ออมเงิน-ภ1'!BQ14)</f>
        <v/>
      </c>
      <c r="J64" s="145">
        <f>IF('น้ำหนักส่วนสูง'!O31="","",'น้ำหนักส่วนสูง'!O31)</f>
        <v/>
      </c>
    </row>
    <row r="65">
      <c r="B65" s="144" t="inlineStr">
        <is>
          <t>ก.ค.</t>
        </is>
      </c>
      <c r="C65" s="145">
        <f>IFERROR(N('มาเรียน-ภ1'!CY14)/(N('มาเรียน-ภ1'!CY14)+N('มาเรียน-ภ1'!CZ14)+N('มาเรียน-ภ1'!DA14)),"")</f>
        <v/>
      </c>
      <c r="D65" s="145">
        <f>IFERROR(N('ดื่มนม-ภ1'!CY14)/(N('ดื่มนม-ภ1'!CY14)+N('ดื่มนม-ภ1'!CZ14)),"")</f>
        <v/>
      </c>
      <c r="E65" s="145">
        <f>IFERROR(N('แปรงฟัน-ภ1'!CY14)/(N('แปรงฟัน-ภ1'!CY14)+N('แปรงฟัน-ภ1'!CZ14)),"")</f>
        <v/>
      </c>
      <c r="F65" s="145">
        <f>IFERROR(N('อาหารกลางวัน-ภ1'!CY14)/(N('อาหารกลางวัน-ภ1'!CY14)+N('อาหารกลางวัน-ภ1'!CZ14)+N('อาหารกลางวัน-ภ1'!DA14)),"")</f>
        <v/>
      </c>
      <c r="G65" s="145">
        <f>IFERROR(N('นอนกลางวัน-ภ1'!CY14)/(N('นอนกลางวัน-ภ1'!CY14)+N('นอนกลางวัน-ภ1'!CZ14)+N('นอนกลางวัน-ภ1'!DA14)),"")</f>
        <v/>
      </c>
      <c r="H65" s="145">
        <f>IFERROR(N('ออกกำลังกาย-ภ1'!CY14)/(N('ออกกำลังกาย-ภ1'!CY14)+N('ออกกำลังกาย-ภ1'!CZ14)),"")</f>
        <v/>
      </c>
      <c r="I65" s="146">
        <f>N('ออมเงิน-ภ1'!CY14)</f>
        <v/>
      </c>
      <c r="J65" s="145">
        <f>IF('น้ำหนักส่วนสูง'!W31="","",'น้ำหนักส่วนสูง'!W31)</f>
        <v/>
      </c>
    </row>
    <row r="66">
      <c r="B66" s="144" t="inlineStr">
        <is>
          <t>ส.ค.</t>
        </is>
      </c>
      <c r="C66" s="145">
        <f>IFERROR(N('มาเรียน-ภ1'!EG14)/(N('มาเรียน-ภ1'!EG14)+N('มาเรียน-ภ1'!EH14)+N('มาเรียน-ภ1'!EI14)),"")</f>
        <v/>
      </c>
      <c r="D66" s="145">
        <f>IFERROR(N('ดื่มนม-ภ1'!EG14)/(N('ดื่มนม-ภ1'!EG14)+N('ดื่มนม-ภ1'!EH14)),"")</f>
        <v/>
      </c>
      <c r="E66" s="145">
        <f>IFERROR(N('แปรงฟัน-ภ1'!EG14)/(N('แปรงฟัน-ภ1'!EG14)+N('แปรงฟัน-ภ1'!EH14)),"")</f>
        <v/>
      </c>
      <c r="F66" s="145">
        <f>IFERROR(N('อาหารกลางวัน-ภ1'!EG14)/(N('อาหารกลางวัน-ภ1'!EG14)+N('อาหารกลางวัน-ภ1'!EH14)+N('อาหารกลางวัน-ภ1'!EI14)),"")</f>
        <v/>
      </c>
      <c r="G66" s="145">
        <f>IFERROR(N('นอนกลางวัน-ภ1'!EG14)/(N('นอนกลางวัน-ภ1'!EG14)+N('นอนกลางวัน-ภ1'!EH14)+N('นอนกลางวัน-ภ1'!EI14)),"")</f>
        <v/>
      </c>
      <c r="H66" s="145">
        <f>IFERROR(N('ออกกำลังกาย-ภ1'!EG14)/(N('ออกกำลังกาย-ภ1'!EG14)+N('ออกกำลังกาย-ภ1'!EH14)),"")</f>
        <v/>
      </c>
      <c r="I66" s="146">
        <f>N('ออมเงิน-ภ1'!EG14)</f>
        <v/>
      </c>
      <c r="J66" s="145">
        <f>IF('น้ำหนักส่วนสูง'!AE31="","",'น้ำหนักส่วนสูง'!AE31)</f>
        <v/>
      </c>
    </row>
    <row r="67">
      <c r="B67" s="144" t="inlineStr">
        <is>
          <t>ก.ย.</t>
        </is>
      </c>
      <c r="C67" s="145">
        <f>IFERROR(N('มาเรียน-ภ1'!FO14)/(N('มาเรียน-ภ1'!FO14)+N('มาเรียน-ภ1'!FP14)+N('มาเรียน-ภ1'!FQ14)),"")</f>
        <v/>
      </c>
      <c r="D67" s="145">
        <f>IFERROR(N('ดื่มนม-ภ1'!FO14)/(N('ดื่มนม-ภ1'!FO14)+N('ดื่มนม-ภ1'!FP14)),"")</f>
        <v/>
      </c>
      <c r="E67" s="145">
        <f>IFERROR(N('แปรงฟัน-ภ1'!FO14)/(N('แปรงฟัน-ภ1'!FO14)+N('แปรงฟัน-ภ1'!FP14)),"")</f>
        <v/>
      </c>
      <c r="F67" s="145">
        <f>IFERROR(N('อาหารกลางวัน-ภ1'!FO14)/(N('อาหารกลางวัน-ภ1'!FO14)+N('อาหารกลางวัน-ภ1'!FP14)+N('อาหารกลางวัน-ภ1'!FQ14)),"")</f>
        <v/>
      </c>
      <c r="G67" s="145">
        <f>IFERROR(N('นอนกลางวัน-ภ1'!FO14)/(N('นอนกลางวัน-ภ1'!FO14)+N('นอนกลางวัน-ภ1'!FP14)+N('นอนกลางวัน-ภ1'!FQ14)),"")</f>
        <v/>
      </c>
      <c r="H67" s="145">
        <f>IFERROR(N('ออกกำลังกาย-ภ1'!FO14)/(N('ออกกำลังกาย-ภ1'!FO14)+N('ออกกำลังกาย-ภ1'!FP14)),"")</f>
        <v/>
      </c>
      <c r="I67" s="146">
        <f>N('ออมเงิน-ภ1'!FO14)</f>
        <v/>
      </c>
      <c r="J67" s="145">
        <f>IF('น้ำหนักส่วนสูง'!AM31="","",'น้ำหนักส่วนสูง'!AM31)</f>
        <v/>
      </c>
    </row>
    <row r="68">
      <c r="B68" s="144" t="inlineStr">
        <is>
          <t>ต.ค.</t>
        </is>
      </c>
      <c r="C68" s="145">
        <f>IFERROR(N('มาเรียน-ภ1'!GW14)/(N('มาเรียน-ภ1'!GW14)+N('มาเรียน-ภ1'!GX14)+N('มาเรียน-ภ1'!GY14)),"")</f>
        <v/>
      </c>
      <c r="D68" s="145">
        <f>IFERROR(N('ดื่มนม-ภ1'!GW14)/(N('ดื่มนม-ภ1'!GW14)+N('ดื่มนม-ภ1'!GX14)),"")</f>
        <v/>
      </c>
      <c r="E68" s="145">
        <f>IFERROR(N('แปรงฟัน-ภ1'!GW14)/(N('แปรงฟัน-ภ1'!GW14)+N('แปรงฟัน-ภ1'!GX14)),"")</f>
        <v/>
      </c>
      <c r="F68" s="145">
        <f>IFERROR(N('อาหารกลางวัน-ภ1'!GW14)/(N('อาหารกลางวัน-ภ1'!GW14)+N('อาหารกลางวัน-ภ1'!GX14)+N('อาหารกลางวัน-ภ1'!GY14)),"")</f>
        <v/>
      </c>
      <c r="G68" s="145">
        <f>IFERROR(N('นอนกลางวัน-ภ1'!GW14)/(N('นอนกลางวัน-ภ1'!GW14)+N('นอนกลางวัน-ภ1'!GX14)+N('นอนกลางวัน-ภ1'!GY14)),"")</f>
        <v/>
      </c>
      <c r="H68" s="145">
        <f>IFERROR(N('ออกกำลังกาย-ภ1'!GW14)/(N('ออกกำลังกาย-ภ1'!GW14)+N('ออกกำลังกาย-ภ1'!GX14)),"")</f>
        <v/>
      </c>
      <c r="I68" s="146">
        <f>N('ออมเงิน-ภ1'!GW14)</f>
        <v/>
      </c>
      <c r="J68" s="145">
        <f>IF('น้ำหนักส่วนสูง'!AU31="","",'น้ำหนักส่วนสูง'!AU31)</f>
        <v/>
      </c>
    </row>
    <row r="69">
      <c r="B69" s="144" t="inlineStr">
        <is>
          <t>พ.ย.</t>
        </is>
      </c>
      <c r="C69" s="145">
        <f>IFERROR(N('มาเรียน-ภ2'!AI14)/(N('มาเรียน-ภ2'!AI14)+N('มาเรียน-ภ2'!AJ14)+N('มาเรียน-ภ2'!AK14)),"")</f>
        <v/>
      </c>
      <c r="D69" s="145">
        <f>IFERROR(N('ดื่มนม-ภ2'!AI14)/(N('ดื่มนม-ภ2'!AI14)+N('ดื่มนม-ภ2'!AJ14)),"")</f>
        <v/>
      </c>
      <c r="E69" s="145">
        <f>IFERROR(N('แปรงฟัน-ภ2'!AI14)/(N('แปรงฟัน-ภ2'!AI14)+N('แปรงฟัน-ภ2'!AJ14)),"")</f>
        <v/>
      </c>
      <c r="F69" s="145">
        <f>IFERROR(N('อาหารกลางวัน-ภ2'!AI14)/(N('อาหารกลางวัน-ภ2'!AI14)+N('อาหารกลางวัน-ภ2'!AJ14)+N('อาหารกลางวัน-ภ2'!AK14)),"")</f>
        <v/>
      </c>
      <c r="G69" s="145">
        <f>IFERROR(N('นอนกลางวัน-ภ2'!AI14)/(N('นอนกลางวัน-ภ2'!AI14)+N('นอนกลางวัน-ภ2'!AJ14)+N('นอนกลางวัน-ภ2'!AK14)),"")</f>
        <v/>
      </c>
      <c r="H69" s="145">
        <f>IFERROR(N('ออกกำลังกาย-ภ2'!AI14)/(N('ออกกำลังกาย-ภ2'!AI14)+N('ออกกำลังกาย-ภ2'!AJ14)),"")</f>
        <v/>
      </c>
      <c r="I69" s="146">
        <f>N('ออมเงิน-ภ2'!AI14)</f>
        <v/>
      </c>
      <c r="J69" s="145">
        <f>IF('น้ำหนักส่วนสูง'!BC31="","",'น้ำหนักส่วนสูง'!BC31)</f>
        <v/>
      </c>
    </row>
    <row r="70">
      <c r="B70" s="144" t="inlineStr">
        <is>
          <t>ธ.ค.</t>
        </is>
      </c>
      <c r="C70" s="145">
        <f>IFERROR(N('มาเรียน-ภ2'!BQ14)/(N('มาเรียน-ภ2'!BQ14)+N('มาเรียน-ภ2'!BR14)+N('มาเรียน-ภ2'!BS14)),"")</f>
        <v/>
      </c>
      <c r="D70" s="145">
        <f>IFERROR(N('ดื่มนม-ภ2'!BQ14)/(N('ดื่มนม-ภ2'!BQ14)+N('ดื่มนม-ภ2'!BR14)),"")</f>
        <v/>
      </c>
      <c r="E70" s="145">
        <f>IFERROR(N('แปรงฟัน-ภ2'!BQ14)/(N('แปรงฟัน-ภ2'!BQ14)+N('แปรงฟัน-ภ2'!BR14)),"")</f>
        <v/>
      </c>
      <c r="F70" s="145">
        <f>IFERROR(N('อาหารกลางวัน-ภ2'!BQ14)/(N('อาหารกลางวัน-ภ2'!BQ14)+N('อาหารกลางวัน-ภ2'!BR14)+N('อาหารกลางวัน-ภ2'!BS14)),"")</f>
        <v/>
      </c>
      <c r="G70" s="145">
        <f>IFERROR(N('นอนกลางวัน-ภ2'!BQ14)/(N('นอนกลางวัน-ภ2'!BQ14)+N('นอนกลางวัน-ภ2'!BR14)+N('นอนกลางวัน-ภ2'!BS14)),"")</f>
        <v/>
      </c>
      <c r="H70" s="145">
        <f>IFERROR(N('ออกกำลังกาย-ภ2'!BQ14)/(N('ออกกำลังกาย-ภ2'!BQ14)+N('ออกกำลังกาย-ภ2'!BR14)),"")</f>
        <v/>
      </c>
      <c r="I70" s="146">
        <f>N('ออมเงิน-ภ2'!BQ14)</f>
        <v/>
      </c>
      <c r="J70" s="145">
        <f>IF('น้ำหนักส่วนสูง'!BK31="","",'น้ำหนักส่วนสูง'!BK31)</f>
        <v/>
      </c>
    </row>
    <row r="71">
      <c r="B71" s="144" t="inlineStr">
        <is>
          <t>ม.ค.</t>
        </is>
      </c>
      <c r="C71" s="145">
        <f>IFERROR(N('มาเรียน-ภ2'!CY14)/(N('มาเรียน-ภ2'!CY14)+N('มาเรียน-ภ2'!CZ14)+N('มาเรียน-ภ2'!DA14)),"")</f>
        <v/>
      </c>
      <c r="D71" s="145">
        <f>IFERROR(N('ดื่มนม-ภ2'!CY14)/(N('ดื่มนม-ภ2'!CY14)+N('ดื่มนม-ภ2'!CZ14)),"")</f>
        <v/>
      </c>
      <c r="E71" s="145">
        <f>IFERROR(N('แปรงฟัน-ภ2'!CY14)/(N('แปรงฟัน-ภ2'!CY14)+N('แปรงฟัน-ภ2'!CZ14)),"")</f>
        <v/>
      </c>
      <c r="F71" s="145">
        <f>IFERROR(N('อาหารกลางวัน-ภ2'!CY14)/(N('อาหารกลางวัน-ภ2'!CY14)+N('อาหารกลางวัน-ภ2'!CZ14)+N('อาหารกลางวัน-ภ2'!DA14)),"")</f>
        <v/>
      </c>
      <c r="G71" s="145">
        <f>IFERROR(N('นอนกลางวัน-ภ2'!CY14)/(N('นอนกลางวัน-ภ2'!CY14)+N('นอนกลางวัน-ภ2'!CZ14)+N('นอนกลางวัน-ภ2'!DA14)),"")</f>
        <v/>
      </c>
      <c r="H71" s="145">
        <f>IFERROR(N('ออกกำลังกาย-ภ2'!CY14)/(N('ออกกำลังกาย-ภ2'!CY14)+N('ออกกำลังกาย-ภ2'!CZ14)),"")</f>
        <v/>
      </c>
      <c r="I71" s="146">
        <f>N('ออมเงิน-ภ2'!CY14)</f>
        <v/>
      </c>
      <c r="J71" s="145">
        <f>IF('น้ำหนักส่วนสูง'!BS31="","",'น้ำหนักส่วนสูง'!BS31)</f>
        <v/>
      </c>
    </row>
    <row r="72">
      <c r="B72" s="144" t="inlineStr">
        <is>
          <t>ก.พ.</t>
        </is>
      </c>
      <c r="C72" s="145">
        <f>IFERROR(N('มาเรียน-ภ2'!EG14)/(N('มาเรียน-ภ2'!EG14)+N('มาเรียน-ภ2'!EH14)+N('มาเรียน-ภ2'!EI14)),"")</f>
        <v/>
      </c>
      <c r="D72" s="145">
        <f>IFERROR(N('ดื่มนม-ภ2'!EG14)/(N('ดื่มนม-ภ2'!EG14)+N('ดื่มนม-ภ2'!EH14)),"")</f>
        <v/>
      </c>
      <c r="E72" s="145">
        <f>IFERROR(N('แปรงฟัน-ภ2'!EG14)/(N('แปรงฟัน-ภ2'!EG14)+N('แปรงฟัน-ภ2'!EH14)),"")</f>
        <v/>
      </c>
      <c r="F72" s="145">
        <f>IFERROR(N('อาหารกลางวัน-ภ2'!EG14)/(N('อาหารกลางวัน-ภ2'!EG14)+N('อาหารกลางวัน-ภ2'!EH14)+N('อาหารกลางวัน-ภ2'!EI14)),"")</f>
        <v/>
      </c>
      <c r="G72" s="145">
        <f>IFERROR(N('นอนกลางวัน-ภ2'!EG14)/(N('นอนกลางวัน-ภ2'!EG14)+N('นอนกลางวัน-ภ2'!EH14)+N('นอนกลางวัน-ภ2'!EI14)),"")</f>
        <v/>
      </c>
      <c r="H72" s="145">
        <f>IFERROR(N('ออกกำลังกาย-ภ2'!EG14)/(N('ออกกำลังกาย-ภ2'!EG14)+N('ออกกำลังกาย-ภ2'!EH14)),"")</f>
        <v/>
      </c>
      <c r="I72" s="146">
        <f>N('ออมเงิน-ภ2'!EG14)</f>
        <v/>
      </c>
      <c r="J72" s="145">
        <f>IF('น้ำหนักส่วนสูง'!CA31="","",'น้ำหนักส่วนสูง'!CA31)</f>
        <v/>
      </c>
    </row>
    <row r="73">
      <c r="B73" s="144" t="inlineStr">
        <is>
          <t>มี.ค.</t>
        </is>
      </c>
      <c r="C73" s="145">
        <f>IFERROR(N('มาเรียน-ภ2'!FO14)/(N('มาเรียน-ภ2'!FO14)+N('มาเรียน-ภ2'!FP14)+N('มาเรียน-ภ2'!FQ14)),"")</f>
        <v/>
      </c>
      <c r="D73" s="145">
        <f>IFERROR(N('ดื่มนม-ภ2'!FO14)/(N('ดื่มนม-ภ2'!FO14)+N('ดื่มนม-ภ2'!FP14)),"")</f>
        <v/>
      </c>
      <c r="E73" s="145">
        <f>IFERROR(N('แปรงฟัน-ภ2'!FO14)/(N('แปรงฟัน-ภ2'!FO14)+N('แปรงฟัน-ภ2'!FP14)),"")</f>
        <v/>
      </c>
      <c r="F73" s="145">
        <f>IFERROR(N('อาหารกลางวัน-ภ2'!FO14)/(N('อาหารกลางวัน-ภ2'!FO14)+N('อาหารกลางวัน-ภ2'!FP14)+N('อาหารกลางวัน-ภ2'!FQ14)),"")</f>
        <v/>
      </c>
      <c r="G73" s="145">
        <f>IFERROR(N('นอนกลางวัน-ภ2'!FO14)/(N('นอนกลางวัน-ภ2'!FO14)+N('นอนกลางวัน-ภ2'!FP14)+N('นอนกลางวัน-ภ2'!FQ14)),"")</f>
        <v/>
      </c>
      <c r="H73" s="145">
        <f>IFERROR(N('ออกกำลังกาย-ภ2'!FO14)/(N('ออกกำลังกาย-ภ2'!FO14)+N('ออกกำลังกาย-ภ2'!FP14)),"")</f>
        <v/>
      </c>
      <c r="I73" s="146">
        <f>N('ออมเงิน-ภ2'!FO14)</f>
        <v/>
      </c>
      <c r="J73" s="145">
        <f>IF('น้ำหนักส่วนสูง'!CI31="","",'น้ำหนักส่วนสูง'!CI31)</f>
        <v/>
      </c>
    </row>
    <row r="74"/>
    <row r="75">
      <c r="B75" s="147" t="inlineStr">
        <is>
          <t>ภาวะโภชนาการ เดือน:</t>
        </is>
      </c>
      <c r="D75" s="148">
        <f>CHOOSE($L$76,"พฤษภาคม","มิถุนายน","กรกฎาคม","สิงหาคม","กันยายน","ตุลาคม","พฤศจิกายน","ธันวาคม","มกราคม","กุมภาพันธ์","มีนาคม")</f>
        <v/>
      </c>
      <c r="L75" s="149" t="inlineStr">
        <is>
          <t>(เดือนล่าสุดที่มีข้อมูล)</t>
        </is>
      </c>
    </row>
    <row r="76">
      <c r="B76" s="150" t="inlineStr">
        <is>
          <t>ภาวะ</t>
        </is>
      </c>
      <c r="C76" s="150" t="inlineStr">
        <is>
          <t>จำนวน (คน)</t>
        </is>
      </c>
      <c r="L76" s="149">
        <f>IFERROR(LOOKUP(2,1/(J63:J73&lt;&gt;""),ROW(J63:J73)-62),1)</f>
        <v/>
      </c>
    </row>
    <row r="77">
      <c r="B77" s="151" t="inlineStr">
        <is>
          <t>ผอม</t>
        </is>
      </c>
      <c r="C77" s="151">
        <f>CHOOSE($L$76,'น้ำหนักส่วนสูง'!G16,'น้ำหนักส่วนสูง'!O16,'น้ำหนักส่วนสูง'!W16,'น้ำหนักส่วนสูง'!AE16,'น้ำหนักส่วนสูง'!AM16,'น้ำหนักส่วนสูง'!AU16,'น้ำหนักส่วนสูง'!BC16,'น้ำหนักส่วนสูง'!BK16,'น้ำหนักส่วนสูง'!BS16,'น้ำหนักส่วนสูง'!CA16,'น้ำหนักส่วนสูง'!CI16)</f>
        <v/>
      </c>
    </row>
    <row r="78">
      <c r="B78" s="152" t="inlineStr">
        <is>
          <t>ค่อนข้างผอม</t>
        </is>
      </c>
      <c r="C78" s="152">
        <f>CHOOSE($L$76,'น้ำหนักส่วนสูง'!G17,'น้ำหนักส่วนสูง'!O17,'น้ำหนักส่วนสูง'!W17,'น้ำหนักส่วนสูง'!AE17,'น้ำหนักส่วนสูง'!AM17,'น้ำหนักส่วนสูง'!AU17,'น้ำหนักส่วนสูง'!BC17,'น้ำหนักส่วนสูง'!BK17,'น้ำหนักส่วนสูง'!BS17,'น้ำหนักส่วนสูง'!CA17,'น้ำหนักส่วนสูง'!CI17)</f>
        <v/>
      </c>
    </row>
    <row r="79">
      <c r="B79" s="153" t="inlineStr">
        <is>
          <t>สมส่วน</t>
        </is>
      </c>
      <c r="C79" s="153">
        <f>CHOOSE($L$76,'น้ำหนักส่วนสูง'!G18,'น้ำหนักส่วนสูง'!O18,'น้ำหนักส่วนสูง'!W18,'น้ำหนักส่วนสูง'!AE18,'น้ำหนักส่วนสูง'!AM18,'น้ำหนักส่วนสูง'!AU18,'น้ำหนักส่วนสูง'!BC18,'น้ำหนักส่วนสูง'!BK18,'น้ำหนักส่วนสูง'!BS18,'น้ำหนักส่วนสูง'!CA18,'น้ำหนักส่วนสูง'!CI18)</f>
        <v/>
      </c>
    </row>
    <row r="80">
      <c r="B80" s="152" t="inlineStr">
        <is>
          <t>ท้วม</t>
        </is>
      </c>
      <c r="C80" s="152">
        <f>CHOOSE($L$76,'น้ำหนักส่วนสูง'!G19,'น้ำหนักส่วนสูง'!O19,'น้ำหนักส่วนสูง'!W19,'น้ำหนักส่วนสูง'!AE19,'น้ำหนักส่วนสูง'!AM19,'น้ำหนักส่วนสูง'!AU19,'น้ำหนักส่วนสูง'!BC19,'น้ำหนักส่วนสูง'!BK19,'น้ำหนักส่วนสูง'!BS19,'น้ำหนักส่วนสูง'!CA19,'น้ำหนักส่วนสูง'!CI19)</f>
        <v/>
      </c>
    </row>
    <row r="81">
      <c r="B81" s="154" t="inlineStr">
        <is>
          <t>เริ่มอ้วน</t>
        </is>
      </c>
      <c r="C81" s="154">
        <f>CHOOSE($L$76,'น้ำหนักส่วนสูง'!G20,'น้ำหนักส่วนสูง'!O20,'น้ำหนักส่วนสูง'!W20,'น้ำหนักส่วนสูง'!AE20,'น้ำหนักส่วนสูง'!AM20,'น้ำหนักส่วนสูง'!AU20,'น้ำหนักส่วนสูง'!BC20,'น้ำหนักส่วนสูง'!BK20,'น้ำหนักส่วนสูง'!BS20,'น้ำหนักส่วนสูง'!CA20,'น้ำหนักส่วนสูง'!CI20)</f>
        <v/>
      </c>
    </row>
    <row r="82">
      <c r="B82" s="151" t="inlineStr">
        <is>
          <t>อ้วน</t>
        </is>
      </c>
      <c r="C82" s="151">
        <f>CHOOSE($L$76,'น้ำหนักส่วนสูง'!G21,'น้ำหนักส่วนสูง'!O21,'น้ำหนักส่วนสูง'!W21,'น้ำหนักส่วนสูง'!AE21,'น้ำหนักส่วนสูง'!AM21,'น้ำหนักส่วนสูง'!AU21,'น้ำหนักส่วนสูง'!BC21,'น้ำหนักส่วนสูง'!BK21,'น้ำหนักส่วนสูง'!BS21,'น้ำหนักส่วนสูง'!CA21,'น้ำหนักส่วนสูง'!CI21)</f>
        <v/>
      </c>
    </row>
    <row r="83"/>
    <row r="84"/>
    <row r="85">
      <c r="B85" s="155" t="inlineStr">
        <is>
          <t>พัฒนาการ</t>
        </is>
      </c>
      <c r="C85" s="155" t="inlineStr">
        <is>
          <t>ดี ภ1</t>
        </is>
      </c>
      <c r="D85" s="155" t="inlineStr">
        <is>
          <t>พอใช้ ภ1</t>
        </is>
      </c>
      <c r="E85" s="155" t="inlineStr">
        <is>
          <t>ปรับปรุง ภ1</t>
        </is>
      </c>
      <c r="F85" s="155" t="inlineStr">
        <is>
          <t>ดี ภ2</t>
        </is>
      </c>
      <c r="G85" s="155" t="inlineStr">
        <is>
          <t>พอใช้ ภ2</t>
        </is>
      </c>
      <c r="H85" s="155" t="inlineStr">
        <is>
          <t>ปรับปรุง ภ2</t>
        </is>
      </c>
    </row>
    <row r="86">
      <c r="B86" s="156" t="inlineStr">
        <is>
          <t>ร่างกาย</t>
        </is>
      </c>
      <c r="C86" s="157">
        <f>COUNTIF('ประเมินพัฒนาการ-ภ1'!AH9:AH13,"ดี")</f>
        <v/>
      </c>
      <c r="D86" s="157">
        <f>COUNTIF('ประเมินพัฒนาการ-ภ1'!AH9:AH13,"พอใช้")</f>
        <v/>
      </c>
      <c r="E86" s="157">
        <f>COUNTIF('ประเมินพัฒนาการ-ภ1'!AH9:AH13,"ปรับปรุง")</f>
        <v/>
      </c>
      <c r="F86" s="157">
        <f>COUNTIF('ประเมินพัฒนาการ-ภ2'!AH9:AH13,"ดี")</f>
        <v/>
      </c>
      <c r="G86" s="157">
        <f>COUNTIF('ประเมินพัฒนาการ-ภ2'!AH9:AH13,"พอใช้")</f>
        <v/>
      </c>
      <c r="H86" s="157">
        <f>COUNTIF('ประเมินพัฒนาการ-ภ2'!AH9:AH13,"ปรับปรุง")</f>
        <v/>
      </c>
    </row>
    <row r="87">
      <c r="B87" s="156" t="inlineStr">
        <is>
          <t>อารมณ์ จิตใจ</t>
        </is>
      </c>
      <c r="C87" s="157">
        <f>COUNTIF('ประเมินพัฒนาการ-ภ1'!AJ9:AJ13,"ดี")</f>
        <v/>
      </c>
      <c r="D87" s="157">
        <f>COUNTIF('ประเมินพัฒนาการ-ภ1'!AJ9:AJ13,"พอใช้")</f>
        <v/>
      </c>
      <c r="E87" s="157">
        <f>COUNTIF('ประเมินพัฒนาการ-ภ1'!AJ9:AJ13,"ปรับปรุง")</f>
        <v/>
      </c>
      <c r="F87" s="157">
        <f>COUNTIF('ประเมินพัฒนาการ-ภ2'!AJ9:AJ13,"ดี")</f>
        <v/>
      </c>
      <c r="G87" s="157">
        <f>COUNTIF('ประเมินพัฒนาการ-ภ2'!AJ9:AJ13,"พอใช้")</f>
        <v/>
      </c>
      <c r="H87" s="157">
        <f>COUNTIF('ประเมินพัฒนาการ-ภ2'!AJ9:AJ13,"ปรับปรุง")</f>
        <v/>
      </c>
    </row>
    <row r="88">
      <c r="B88" s="156" t="inlineStr">
        <is>
          <t>สังคม</t>
        </is>
      </c>
      <c r="C88" s="157">
        <f>COUNTIF('ประเมินพัฒนาการ-ภ1'!AL9:AL13,"ดี")</f>
        <v/>
      </c>
      <c r="D88" s="157">
        <f>COUNTIF('ประเมินพัฒนาการ-ภ1'!AL9:AL13,"พอใช้")</f>
        <v/>
      </c>
      <c r="E88" s="157">
        <f>COUNTIF('ประเมินพัฒนาการ-ภ1'!AL9:AL13,"ปรับปรุง")</f>
        <v/>
      </c>
      <c r="F88" s="157">
        <f>COUNTIF('ประเมินพัฒนาการ-ภ2'!AL9:AL13,"ดี")</f>
        <v/>
      </c>
      <c r="G88" s="157">
        <f>COUNTIF('ประเมินพัฒนาการ-ภ2'!AL9:AL13,"พอใช้")</f>
        <v/>
      </c>
      <c r="H88" s="157">
        <f>COUNTIF('ประเมินพัฒนาการ-ภ2'!AL9:AL13,"ปรับปรุง")</f>
        <v/>
      </c>
    </row>
    <row r="89">
      <c r="B89" s="156" t="inlineStr">
        <is>
          <t>สติปัญญา</t>
        </is>
      </c>
      <c r="C89" s="157">
        <f>COUNTIF('ประเมินพัฒนาการ-ภ1'!AN9:AN13,"ดี")</f>
        <v/>
      </c>
      <c r="D89" s="157">
        <f>COUNTIF('ประเมินพัฒนาการ-ภ1'!AN9:AN13,"พอใช้")</f>
        <v/>
      </c>
      <c r="E89" s="157">
        <f>COUNTIF('ประเมินพัฒนาการ-ภ1'!AN9:AN13,"ปรับปรุง")</f>
        <v/>
      </c>
      <c r="F89" s="157">
        <f>COUNTIF('ประเมินพัฒนาการ-ภ2'!AN9:AN13,"ดี")</f>
        <v/>
      </c>
      <c r="G89" s="157">
        <f>COUNTIF('ประเมินพัฒนาการ-ภ2'!AN9:AN13,"พอใช้")</f>
        <v/>
      </c>
      <c r="H89" s="157">
        <f>COUNTIF('ประเมินพัฒนาการ-ภ2'!AN9:AN13,"ปรับปรุง")</f>
        <v/>
      </c>
    </row>
    <row r="90"/>
    <row r="91"/>
    <row r="92">
      <c r="B92" s="158" t="inlineStr">
        <is>
          <t>ผลคัดกรอง</t>
        </is>
      </c>
      <c r="C92" s="158" t="inlineStr">
        <is>
          <t>จำนวน (คน)</t>
        </is>
      </c>
    </row>
    <row r="93">
      <c r="B93" s="153" t="inlineStr">
        <is>
          <t>ปกติ</t>
        </is>
      </c>
      <c r="C93" s="153">
        <f>N('คัดกรองนักเรียน'!D23)</f>
        <v/>
      </c>
    </row>
    <row r="94">
      <c r="B94" s="152" t="inlineStr">
        <is>
          <t>เสี่ยง</t>
        </is>
      </c>
      <c r="C94" s="152">
        <f>N('คัดกรองนักเรียน'!F23)</f>
        <v/>
      </c>
    </row>
    <row r="95">
      <c r="B95" s="151" t="inlineStr">
        <is>
          <t>มีปัญหา</t>
        </is>
      </c>
      <c r="C95" s="151">
        <f>N('คัดกรองนักเรียน'!H23)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0">
    <mergeCell ref="L5:O6"/>
    <mergeCell ref="B4:E4"/>
    <mergeCell ref="Q4:T4"/>
    <mergeCell ref="Q5:T6"/>
    <mergeCell ref="G4:J4"/>
    <mergeCell ref="V4:Y4"/>
    <mergeCell ref="L4:O4"/>
    <mergeCell ref="B5:E6"/>
    <mergeCell ref="G5:J6"/>
    <mergeCell ref="V5:Y6"/>
  </mergeCell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AB0B6"/>
    <outlinePr summaryBelow="1" summaryRight="1"/>
    <pageSetUpPr fitToPage="1"/>
  </sheetPr>
  <dimension ref="A1:L72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112" customWidth="1" min="2" max="2"/>
  </cols>
  <sheetData>
    <row r="1" ht="48" customHeight="1">
      <c r="A1" s="159" t="inlineStr">
        <is>
          <t>🏠</t>
        </is>
      </c>
      <c r="B1" s="160" t="n"/>
      <c r="C1" s="160" t="n"/>
      <c r="D1" s="160" t="n"/>
      <c r="E1" s="160" t="n"/>
      <c r="F1" s="160" t="n"/>
      <c r="G1" s="160" t="n"/>
      <c r="H1" s="160" t="n"/>
      <c r="I1" s="160" t="n"/>
      <c r="J1" s="160" t="n"/>
      <c r="K1" s="160" t="n"/>
      <c r="L1" s="160" t="n"/>
    </row>
    <row r="2" ht="20" customHeight="1">
      <c r="A2" s="161" t="inlineStr">
        <is>
          <t>หน้าหลัก</t>
        </is>
      </c>
      <c r="B2" s="162" t="inlineStr">
        <is>
          <t>อ่านครั้งเดียว ใช้ได้ทั้งปี</t>
        </is>
      </c>
      <c r="C2" s="163" t="n"/>
      <c r="D2" s="163" t="n"/>
      <c r="E2" s="163" t="n"/>
      <c r="F2" s="163" t="n"/>
      <c r="G2" s="163" t="n"/>
      <c r="H2" s="163" t="n"/>
      <c r="I2" s="163" t="n"/>
      <c r="J2" s="163" t="n"/>
      <c r="K2" s="163" t="n"/>
      <c r="L2" s="163" t="n"/>
    </row>
    <row r="3"/>
    <row r="4" ht="24" customHeight="1">
      <c r="B4" s="164" t="inlineStr">
        <is>
          <t xml:space="preserve">  ฉบับทดลองใช้ฟรี</t>
        </is>
      </c>
    </row>
    <row r="5" ht="18" customHeight="1">
      <c r="B5" s="165" t="inlineStr">
        <is>
          <t>• ฉบับนี้ใช้งานได้จริง บันทึกนักเรียนได้ 5 คน และเปิดให้ใช้ 10 เมนูหลัก  เมนูที่มีรูปกุญแจใช้ได้ในฉบับเต็ม</t>
        </is>
      </c>
    </row>
    <row r="6" ht="18" customHeight="1">
      <c r="B6" s="165" t="inlineStr">
        <is>
          <t>• ฉบับเต็ม 120 บาท: นักเรียน 60 คน ครบทุกฟังก์ชัน  •  สมาชิก VIP 199 บาท จ่ายครั้งเดียว ตลอดชีพ ดาวน์โหลดได้ทุกไฟล์ในกลุ่ม</t>
        </is>
      </c>
    </row>
    <row r="7" ht="18" customHeight="1">
      <c r="B7" s="165" t="inlineStr">
        <is>
          <t>• สั่งซื้อ / สมัคร VIP: ทักแชทเพจ “ใบงานสื่อการสอน อนุบาล Kun Ton”  facebook.com/KunTonKinder  (รายละเอียดดูที่หน้า “ฉบับเต็ม”)</t>
        </is>
      </c>
    </row>
    <row r="8"/>
    <row r="9" ht="24" customHeight="1">
      <c r="B9" s="166" t="inlineStr">
        <is>
          <t xml:space="preserve">  ขอบคุณที่เลือกใช้ระบบธุรการชั้นเรียนอนุบาล</t>
        </is>
      </c>
    </row>
    <row r="10" ht="18" customHeight="1">
      <c r="B10" s="165" t="inlineStr">
        <is>
          <t>• แนะนำให้บันทึกสำเนาไฟล์ (สำรองข้อมูล) เป็นระยะ เช่น ทุกสิ้นเดือน</t>
        </is>
      </c>
    </row>
    <row r="11" ht="18" customHeight="1">
      <c r="B11" s="165" t="inlineStr">
        <is>
          <t>• ไฟล์นี้สำหรับผู้ซื้อหรือสมาชิกเท่านั้น  ขอความร่วมมืองดส่งต่อ แจกจ่าย หรือนำไปจำหน่าย</t>
        </is>
      </c>
    </row>
    <row r="12" ht="18" customHeight="1">
      <c r="B12" s="165" t="inlineStr">
        <is>
          <t>• มีข้อเสนอแนะหรืออยากให้เพิ่มความสามารถ  เช่น แบบฟอร์มที่ต้นสังกัดใช้ หรือส่วนที่ใช้งานยาก  แจ้งเราได้เสมอ</t>
        </is>
      </c>
    </row>
    <row r="13" ht="18" customHeight="1">
      <c r="B13" s="165" t="inlineStr">
        <is>
          <t>• ติดต่อ / แจ้งปัญหา / สั่งซื้อ: ทักแชทเพจ Facebook “ใบงานสื่อการสอน อนุบาล Kun Ton”  facebook.com/KunTonKinder</t>
        </is>
      </c>
    </row>
    <row r="14"/>
    <row r="15" ht="24" customHeight="1">
      <c r="B15" s="167" t="inlineStr">
        <is>
          <t xml:space="preserve">  เริ่มต้นใช้งาน (ทำครั้งเดียว)</t>
        </is>
      </c>
    </row>
    <row r="16" ht="18" customHeight="1">
      <c r="B16" s="165" t="inlineStr">
        <is>
          <t>1. หน้า “ข้อมูลโรงเรียน”  กรอกชื่อโรงเรียน ชั้น ห้อง ครูประจำชั้น ผู้บริหาร และปีการศึกษา</t>
        </is>
      </c>
    </row>
    <row r="17" ht="18" customHeight="1">
      <c r="B17" s="165" t="inlineStr">
        <is>
          <t>2. หน้า “ข้อมูลโรงเรียน”  ตรวจวันเปิด-ปิดภาคเรียนทั้ง 2 ภาค และรายการวันหยุด (ใส่ค่าปี 2569 ไว้ให้แล้ว)</t>
        </is>
      </c>
    </row>
    <row r="18" ht="18" customHeight="1">
      <c r="B18" s="165" t="inlineStr">
        <is>
          <t>3. หน้า “ข้อมูลนักเรียน”  กรอกรายชื่อนักเรียน (สูงสุด 60 คน)  ชื่อจะขึ้นในทุกแบบบันทึกเอง</t>
        </is>
      </c>
    </row>
    <row r="19"/>
    <row r="20" ht="24" customHeight="1">
      <c r="B20" s="168" t="inlineStr">
        <is>
          <t xml:space="preserve">  การบันทึกประจำวัน</t>
        </is>
      </c>
    </row>
    <row r="21" ht="18" customHeight="1">
      <c r="B21" s="165" t="inlineStr">
        <is>
          <t>• แต่ละแบบบันทึกแยกภาคเรียนที่ 1 และ 2  เรียงเดือนต่อกันไปทางขวา  ชื่อนักเรียนค้างไว้ด้านซ้ายเสมอ</t>
        </is>
      </c>
    </row>
    <row r="22" ht="18" customHeight="1">
      <c r="B22" s="165" t="inlineStr">
        <is>
          <t>• สีเทา = เสาร์-อาทิตย์    สีแดงพร้อมชื่อ = วันหยุด    สีเทาเข้ม = นอกภาคเรียน / ไม่มีวันที่</t>
        </is>
      </c>
    </row>
    <row r="23" ht="18" customHeight="1">
      <c r="B23" s="165" t="inlineStr">
        <is>
          <t>• รหัสการมาเรียน  ม ส ล ป ข  และอาหารกลางวัน  ห ล ง  พิมพ์ด้วยแป้นภาษาไทยได้เลย</t>
        </is>
      </c>
    </row>
    <row r="24" ht="18" customHeight="1">
      <c r="B24" s="165" t="inlineStr">
        <is>
          <t>• เครื่องหมาย ✓ และ ✗  คลิกลูกศรในช่องแล้วเลือก  (เคล็ดลับ: ใส่ ✓ ช่องแรก แล้วลากมุมช่องลงมาทั้งคอลัมน์)</t>
        </is>
      </c>
    </row>
    <row r="25" ht="18" customHeight="1">
      <c r="B25" s="165" t="inlineStr">
        <is>
          <t>• บันทึกการมาเรียนก่อน  แบบบันทึกอื่นจะแรเงาให้ในวันที่นักเรียน ขาด / ลา / ป่วย</t>
        </is>
      </c>
    </row>
    <row r="26" ht="18" customHeight="1">
      <c r="B26" s="165" t="inlineStr">
        <is>
          <t>• ท้ายแต่ละเดือนมีกล่อง “สรุป” รายคน  และแถวล่างสุดสรุปจำนวนรายวัน</t>
        </is>
      </c>
    </row>
    <row r="27"/>
    <row r="28" ht="24" customHeight="1">
      <c r="B28" s="169" t="inlineStr">
        <is>
          <t xml:space="preserve">  การออมเงิน</t>
        </is>
      </c>
    </row>
    <row r="29" ht="18" customHeight="1">
      <c r="B29" s="165" t="inlineStr">
        <is>
          <t>• หน้า “ออมเงิน-ภ1”  ใส่ยอดยกมาจากปีก่อน (ถ้ามี)  แล้วใส่จำนวนเงินในวันที่ฝาก</t>
        </is>
      </c>
    </row>
    <row r="30" ht="18" customHeight="1">
      <c r="B30" s="165" t="inlineStr">
        <is>
          <t>• หน้า “ถอนเงิน”  ใส่วันที่ เดือน เลขที่ และจำนวนเงิน  ยอดจะไปหักในเดือนนั้นอัตโนมัติ</t>
        </is>
      </c>
    </row>
    <row r="31" ht="18" customHeight="1">
      <c r="B31" s="165" t="inlineStr">
        <is>
          <t>• ภาคเรียนที่ 2 ยกยอดคงเหลือจากภาค 1 ให้เอง  และหน้า “สรุปออมเงิน” รวมทั้งปีให้</t>
        </is>
      </c>
    </row>
    <row r="32"/>
    <row r="33" ht="24" customHeight="1">
      <c r="B33" s="166" t="inlineStr">
        <is>
          <t xml:space="preserve">  สุขภาพ และน้ำหนัก-ส่วนสูง</t>
        </is>
      </c>
    </row>
    <row r="34" ht="18" customHeight="1">
      <c r="B34" s="165" t="inlineStr">
        <is>
          <t>• ตรวจสุขภาพสัปดาห์ละครั้ง (วันจันทร์) 7 รายการ  ✓ = ปกติ  ✗ = ต้องแก้ไข</t>
        </is>
      </c>
    </row>
    <row r="35" ht="18" customHeight="1">
      <c r="B35" s="165" t="inlineStr">
        <is>
          <t>• น้ำหนัก-ส่วนสูงบันทึกได้ทุกเดือน  BMI และภาวะโภชนาการคำนวณให้อัตโนมัติ</t>
        </is>
      </c>
    </row>
    <row r="36"/>
    <row r="37" ht="24" customHeight="1">
      <c r="B37" s="170" t="inlineStr">
        <is>
          <t xml:space="preserve">  พัฒนาการ  สมุดพก  และรับ-ส่งนักเรียน</t>
        </is>
      </c>
    </row>
    <row r="38" ht="18" customHeight="1">
      <c r="B38" s="165" t="inlineStr">
        <is>
          <t>• หน้า “ประเมินพัฒนาการ”  ให้คะแนน 1-3 ตาม 29 ตัวบ่งชี้ (หลักสูตรปฐมวัย 2560)  ผลรายด้าน/ภาพรวมคำนวณให้  และพิมพ์ความเห็นครูได้</t>
        </is>
      </c>
    </row>
    <row r="39" ht="18" customHeight="1">
      <c r="B39" s="165" t="inlineStr">
        <is>
          <t>• หน้า “สมุดพก”  ใส่เลขที่นักเรียนแล้วกด Ctrl + P  ได้สมุดรายงาน A4 ที่ดึงการมาเรียน การเจริญเติบโต พัฒนาการ สุขนิสัย และเงินออมมาให้เอง</t>
        </is>
      </c>
    </row>
    <row r="40" ht="18" customHeight="1">
      <c r="B40" s="165" t="inlineStr">
        <is>
          <t>• หน้า “สมุดพก-ทั้งห้อง”  พิมพ์ครั้งเดียวได้ครบทุกคน (1 คน / 1 หน้า)  เลือกพิมพ์เฉพาะหน้าตามจำนวนนักเรียน</t>
        </is>
      </c>
    </row>
    <row r="41" ht="18" customHeight="1">
      <c r="B41" s="165" t="inlineStr">
        <is>
          <t>• หน้า “ผู้รับ-ส่ง”  กำหนดผู้มีสิทธิ์รับเด็กและข้อห้าม  •  หน้า “ใบรับ-ส่งรายวัน”  พิมพ์ให้ผู้ปกครองลงชื่อ</t>
        </is>
      </c>
    </row>
    <row r="42" ht="18" customHeight="1">
      <c r="B42" s="165" t="inlineStr">
        <is>
          <t>• หน้า “บันทึกรับ-ส่ง”  บันทึกกรณีพิเศษ  ระบบตรวจชื่อผู้มารับกับทะเบียนให้ทันที  (สีแดง = ไม่อยู่ในรายชื่อ ควรโทรยืนยัน)</t>
        </is>
      </c>
    </row>
    <row r="43" ht="18" customHeight="1">
      <c r="B43" s="165" t="inlineStr">
        <is>
          <t>• น้ำหนัก-ส่วนสูง  ประเมินภาวะโภชนาการอัตโนมัติตามมาตรฐาน WHO ที่กรมอนามัยใช้  ต้องมีวันเกิดและคำนำหน้าในทะเบียนนักเรียน</t>
        </is>
      </c>
    </row>
    <row r="44"/>
    <row r="45" ht="24" customHeight="1">
      <c r="B45" s="171" t="inlineStr">
        <is>
          <t xml:space="preserve">  ดูแลเด็กเล็ก  สื่อสารผู้ปกครอง  และระบบดูแลช่วยเหลือ</t>
        </is>
      </c>
    </row>
    <row r="46" ht="18" customHeight="1">
      <c r="B46" s="165" t="inlineStr">
        <is>
          <t>• หน้า “นอนกลางวัน” (น / พ / ง)  และ “ขับถ่าย” (อ / ช / ร / ผ)  บันทึกรายวัน เหมาะกับเตรียมอนุบาลและอนุบาล 1</t>
        </is>
      </c>
    </row>
    <row r="47" ht="18" customHeight="1">
      <c r="B47" s="165" t="inlineStr">
        <is>
          <t>• หน้า “สมุดสื่อสาร”  เลือกวันที่ พิมพ์ข่าวสาร แล้วกด Ctrl + P  ได้ใบสื่อสารทุกคน (หน้าละ 2 คน) ดึงข้อมูลกิจวัตรวันนั้นให้เอง</t>
        </is>
      </c>
    </row>
    <row r="48" ht="18" customHeight="1">
      <c r="B48" s="165" t="inlineStr">
        <is>
          <t>• หน้า “เยี่ยมบ้าน”  บันทึกข้อมูลครอบครัวรายคน  และหน้า “พิมพ์เยี่ยมบ้าน” พิมพ์แบบบันทึกพร้อมช่องติดภาพ</t>
        </is>
      </c>
    </row>
    <row r="49" ht="18" customHeight="1">
      <c r="B49" s="165" t="inlineStr">
        <is>
          <t>• หน้า “คัดกรองนักเรียน”  ประเมิน 6 ด้าน ผลรวมอัตโนมัติ  มีคอลัมน์สัญญาณเตือนที่ดึงจากข้อมูลทุกหน้าในระบบ</t>
        </is>
      </c>
    </row>
    <row r="50" ht="18" customHeight="1">
      <c r="B50" s="165" t="inlineStr">
        <is>
          <t>• หน้า “แดชบอร์ด”  กราฟการมาเรียน สุขนิสัย โภชนาการ พัฒนาการ คัดกรอง และเงินออม  อัปเดตอัตโนมัติ ใช้ประกอบรายงาน SAR ได้</t>
        </is>
      </c>
    </row>
    <row r="51"/>
    <row r="52" ht="24" customHeight="1">
      <c r="B52" s="172" t="inlineStr">
        <is>
          <t xml:space="preserve">  การเงิน  เอกสารพิมพ์  และการยกข้อมูลข้ามปี</t>
        </is>
      </c>
    </row>
    <row r="53" ht="18" customHeight="1">
      <c r="B53" s="165" t="inlineStr">
        <is>
          <t>• หน้า “งบอาหาร-นม”  ใส่จำนวนนักเรียนทั้งโรงเรียน ระบบเลือกอัตราค่าอาหารให้  สรุปงบรายเดือนทั้งตามจำนวนนักเรียนและตามที่มาเรียนจริง</t>
        </is>
      </c>
    </row>
    <row r="54" ht="18" customHeight="1">
      <c r="B54" s="165" t="inlineStr">
        <is>
          <t>• หน้า “เงินอุดหนุน”  ตั้งอัตรารายหัว 5 รายการ (ค่าเริ่มต้นปีงบ 2568 แก้ไขได้)  หน้า “ใบรับเงิน” พิมพ์บัญชีให้ผู้ปกครองลงชื่อรับเงิน</t>
        </is>
      </c>
    </row>
    <row r="55" ht="18" customHeight="1">
      <c r="B55" s="165" t="inlineStr">
        <is>
          <t>• หน้า “บัญชีรายรับ-จ่าย”  สมุดบัญชีห้องเรียน คำนวณยอดคงเหลือ สรุปรายเดือนและรายหมวดให้</t>
        </is>
      </c>
    </row>
    <row r="56" ht="18" customHeight="1">
      <c r="B56" s="165" t="inlineStr">
        <is>
          <t>• ป้ายชื่อ (หน้าละ 10)  บัตรนักเรียน (หน้าละ 8)  เกียรติบัตร (รายคน / ทั้งห้อง)  ปฏิทินวันเกิด  และใบรายชื่อเปล่า  ดึงชื่อให้อัตโนมัติ</t>
        </is>
      </c>
    </row>
    <row r="57" ht="18" customHeight="1">
      <c r="B57" s="165" t="inlineStr">
        <is>
          <t>• หน้า “ยกข้อมูลปีถัดไป”  คัดลอก 3 ชุดข้อมูลไปวาง (เฉพาะค่า) ในไฟล์ปีใหม่  ได้รายชื่อ ข้อมูลเด็ก และยอดเงินออมครบ</t>
        </is>
      </c>
    </row>
    <row r="58"/>
    <row r="59" ht="24" customHeight="1">
      <c r="B59" s="173" t="inlineStr">
        <is>
          <t xml:space="preserve">  การพิมพ์</t>
        </is>
      </c>
    </row>
    <row r="60" ht="18" customHeight="1">
      <c r="B60" s="165" t="inlineStr">
        <is>
          <t>• หน้า “พิมพ์รายงาน”  เลือกแบบบันทึกและเดือน  แล้วกด Ctrl + P  ได้แบบฟอร์ม A4 พร้อมช่องลงชื่อ</t>
        </is>
      </c>
    </row>
    <row r="61" ht="18" customHeight="1">
      <c r="B61" s="165" t="inlineStr">
        <is>
          <t>• ทุกหน้าตั้งค่ากระดาษ A4 แนวนอน และหัวตาราง/ชื่อนักเรียนพิมพ์ซ้ำทุกหน้าให้แล้ว</t>
        </is>
      </c>
    </row>
    <row r="62"/>
    <row r="63" ht="24" customHeight="1">
      <c r="B63" s="174" t="inlineStr">
        <is>
          <t xml:space="preserve">  เวอร์ชันและการแจ้งปัญหา</t>
        </is>
      </c>
    </row>
    <row r="64" ht="18" customHeight="1">
      <c r="B64" s="165" t="inlineStr">
        <is>
          <t>• ไฟล์นี้คือเวอร์ชัน 1.0 ฉบับทดลองใช้ฟรี (5 คน) (ปรับปรุงล่าสุด ตุลาคม 2569)  เมื่อมีเวอร์ชันใหม่ ให้ใช้หน้า “ยกข้อมูลปีถัดไป” ย้ายรายชื่อไปไฟล์ใหม่ได้</t>
        </is>
      </c>
    </row>
    <row r="65" ht="18" customHeight="1">
      <c r="B65" s="165" t="inlineStr">
        <is>
          <t>• รองรับนักเรียนสูงสุด 60 คนต่อห้อง  •  ไม่ใช้มาโคร และไม่ต้องใช้ Excel 365 / 2019 (ใช้ฟังก์ชันพื้นฐานที่มีใน Excel รุ่นเก่า)</t>
        </is>
      </c>
    </row>
    <row r="66" ht="18" customHeight="1">
      <c r="B66" s="165" t="inlineStr">
        <is>
          <t>• พบปัญหาหรือต้องการเสนอแนะ แจ้งพร้อมข้อมูล 3 อย่าง:  (1) ชื่อหน้าที่มีปัญหา  (2) ภาพหน้าจอ  (3) โปรแกรมที่ใช้ เช่น Excel 2016 / Excel 365 / Google Sheets</t>
        </is>
      </c>
    </row>
    <row r="67" ht="18" customHeight="1">
      <c r="B67" s="165" t="inlineStr">
        <is>
          <t>• ติดต่อ / แจ้งปัญหา / สั่งซื้อ: ทักแชทเพจ Facebook “ใบงานสื่อการสอน อนุบาล Kun Ton”  facebook.com/KunTonKinder</t>
        </is>
      </c>
    </row>
    <row r="68"/>
    <row r="69" ht="24" customHeight="1">
      <c r="B69" s="175" t="inlineStr">
        <is>
          <t xml:space="preserve">  ข้อควรรู้</t>
        </is>
      </c>
    </row>
    <row r="70" ht="18" customHeight="1">
      <c r="B70" s="165" t="inlineStr">
        <is>
          <t>• ช่องที่มีสูตรล็อกไว้กันลบ (ไม่มีรหัสผ่าน)  แก้โครงสร้างได้ที่ รีวิว &gt; ยกเลิกการป้องกันแผ่นงาน</t>
        </is>
      </c>
    </row>
    <row r="71" ht="18" customHeight="1">
      <c r="B71" s="165" t="inlineStr">
        <is>
          <t>• ไม่มีมาโคร เปิดได้ทันทีทั้ง Excel (Windows / Mac) และ Google Sheets  •  ควรสำรองไฟล์เป็นระยะ</t>
        </is>
      </c>
    </row>
    <row r="72" ht="18" customHeight="1">
      <c r="B72" s="165" t="inlineStr">
        <is>
          <t>• ใช้ 1 ไฟล์ ต่อ 1 ห้องเรียน ต่อ 1 ปีการศึกษา  ปีถัดไปให้ใช้ไฟล์ใหม่แล้วเปลี่ยนปีการศึกษา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70B8F4"/>
    <outlinePr summaryBelow="1" summaryRight="1"/>
    <pageSetUpPr fitToPage="1"/>
  </sheetPr>
  <dimension ref="A1:Z61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6" customWidth="1" min="4" max="4"/>
    <col width="18" customWidth="1" min="5" max="5"/>
    <col width="3" customWidth="1" min="6" max="6"/>
    <col width="42" customWidth="1" min="7" max="7"/>
    <col hidden="1" width="13" customWidth="1" min="26" max="26"/>
  </cols>
  <sheetData>
    <row r="1" ht="48" customHeight="1">
      <c r="A1" s="176" t="inlineStr">
        <is>
          <t>🏠</t>
        </is>
      </c>
      <c r="B1" s="177" t="n"/>
      <c r="C1" s="177" t="n"/>
      <c r="D1" s="177" t="n"/>
      <c r="E1" s="177" t="n"/>
      <c r="F1" s="177" t="n"/>
      <c r="G1" s="177" t="n"/>
      <c r="H1" s="177" t="n"/>
      <c r="I1" s="177" t="n"/>
      <c r="J1" s="177" t="n"/>
      <c r="K1" s="177" t="n"/>
      <c r="L1" s="177" t="n"/>
    </row>
    <row r="2" ht="20" customHeight="1">
      <c r="A2" s="178" t="inlineStr">
        <is>
          <t>หน้าหลัก</t>
        </is>
      </c>
      <c r="B2" s="179" t="inlineStr">
        <is>
          <t>กรอกช่องสีเหลืองครั้งเดียว ข้อมูลจะไปขึ้นทุกหน้าอัตโนมัติ</t>
        </is>
      </c>
      <c r="C2" s="180" t="n"/>
      <c r="D2" s="180" t="n"/>
      <c r="E2" s="180" t="n"/>
      <c r="F2" s="180" t="n"/>
      <c r="G2" s="180" t="n"/>
      <c r="H2" s="180" t="n"/>
      <c r="I2" s="180" t="n"/>
      <c r="J2" s="180" t="n"/>
      <c r="K2" s="180" t="n"/>
      <c r="L2" s="180" t="n"/>
    </row>
    <row r="3"/>
    <row r="4">
      <c r="B4" s="181" t="inlineStr">
        <is>
          <t>ข้อมูลโรงเรียนและชั้นเรียน</t>
        </is>
      </c>
    </row>
    <row r="5">
      <c r="B5" s="182" t="inlineStr">
        <is>
          <t>ชื่อโรงเรียน</t>
        </is>
      </c>
      <c r="C5" s="183" t="inlineStr"/>
      <c r="D5" s="184" t="n"/>
      <c r="E5" s="184" t="n"/>
    </row>
    <row r="6">
      <c r="B6" s="182" t="inlineStr">
        <is>
          <t>สังกัด / เขตพื้นที่</t>
        </is>
      </c>
      <c r="C6" s="183" t="inlineStr"/>
      <c r="D6" s="184" t="n"/>
      <c r="E6" s="184" t="n"/>
    </row>
    <row r="7">
      <c r="B7" s="182" t="inlineStr">
        <is>
          <t>ระดับชั้น</t>
        </is>
      </c>
      <c r="C7" s="183" t="inlineStr">
        <is>
          <t>อนุบาล 2</t>
        </is>
      </c>
      <c r="D7" s="184" t="n"/>
      <c r="E7" s="184" t="n"/>
    </row>
    <row r="8">
      <c r="B8" s="182" t="inlineStr">
        <is>
          <t>ห้อง</t>
        </is>
      </c>
      <c r="C8" s="183" t="inlineStr">
        <is>
          <t>1</t>
        </is>
      </c>
      <c r="D8" s="184" t="n"/>
      <c r="E8" s="184" t="n"/>
    </row>
    <row r="9">
      <c r="B9" s="182" t="inlineStr">
        <is>
          <t>ครูประจำชั้น</t>
        </is>
      </c>
      <c r="C9" s="183" t="inlineStr"/>
      <c r="D9" s="184" t="n"/>
      <c r="E9" s="184" t="n"/>
    </row>
    <row r="10">
      <c r="B10" s="182" t="inlineStr">
        <is>
          <t>ครูประจำชั้น (คนที่ 2)</t>
        </is>
      </c>
      <c r="C10" s="183" t="inlineStr"/>
      <c r="D10" s="184" t="n"/>
      <c r="E10" s="184" t="n"/>
    </row>
    <row r="11">
      <c r="B11" s="182" t="inlineStr">
        <is>
          <t>ผู้บริหารสถานศึกษา</t>
        </is>
      </c>
      <c r="C11" s="183" t="inlineStr"/>
      <c r="D11" s="184" t="n"/>
      <c r="E11" s="184" t="n"/>
    </row>
    <row r="12">
      <c r="B12" s="182" t="inlineStr">
        <is>
          <t>ปีการศึกษา (พ.ศ.)</t>
        </is>
      </c>
      <c r="C12" s="183" t="n">
        <v>2569</v>
      </c>
      <c r="D12" s="184" t="n"/>
      <c r="E12" s="184" t="n"/>
    </row>
    <row r="13"/>
    <row r="14">
      <c r="B14" s="181" t="inlineStr">
        <is>
          <t>วันเปิด - ปิดภาคเรียน</t>
        </is>
      </c>
      <c r="C14" s="185" t="inlineStr">
        <is>
          <t>วันที่</t>
        </is>
      </c>
      <c r="D14" s="185" t="inlineStr">
        <is>
          <t>เดือน</t>
        </is>
      </c>
      <c r="E14" s="185" t="inlineStr">
        <is>
          <t>แสดงผล</t>
        </is>
      </c>
      <c r="G14" s="186" t="inlineStr">
        <is>
          <t>คำแนะนำ</t>
        </is>
      </c>
    </row>
    <row r="15">
      <c r="B15" s="182" t="inlineStr">
        <is>
          <t>ภาคเรียนที่ 1  วันเปิดเรียน</t>
        </is>
      </c>
      <c r="C15" s="187" t="n">
        <v>15</v>
      </c>
      <c r="D15" s="187" t="inlineStr">
        <is>
          <t>พฤษภาคม</t>
        </is>
      </c>
      <c r="E15" s="188">
        <f>IF(Z15=0,"ตรวจสอบวันที่!",DAY(Z15)&amp;" "&amp;CHOOSE(MONTH(Z15),"ม.ค.","ก.พ.","มี.ค.","เม.ย.","พ.ค.","มิ.ย.","ก.ค.","ส.ค.","ก.ย.","ต.ค.","พ.ย.","ธ.ค.")&amp;" "&amp;(YEAR(Z15)+543))</f>
        <v/>
      </c>
      <c r="G15" s="189" t="inlineStr">
        <is>
          <t>• ปีที่ตรงกับวันหยุดคำนวณให้เอง (พ.ค.–ธ.ค. = ปีการศึกษา, ม.ค.–เม.ย. = ปีถัดไป)</t>
        </is>
      </c>
      <c r="Z15">
        <f>IFERROR(DATE(IF(MATCH(D15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15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15),0)</f>
        <v/>
      </c>
    </row>
    <row r="16">
      <c r="B16" s="182" t="inlineStr">
        <is>
          <t>ภาคเรียนที่ 1  วันปิดภาค</t>
        </is>
      </c>
      <c r="C16" s="187" t="n">
        <v>9</v>
      </c>
      <c r="D16" s="187" t="inlineStr">
        <is>
          <t>ตุลาคม</t>
        </is>
      </c>
      <c r="E16" s="188">
        <f>IF(Z16=0,"ตรวจสอบวันที่!",DAY(Z16)&amp;" "&amp;CHOOSE(MONTH(Z16),"ม.ค.","ก.พ.","มี.ค.","เม.ย.","พ.ค.","มิ.ย.","ก.ค.","ส.ค.","ก.ย.","ต.ค.","พ.ย.","ธ.ค.")&amp;" "&amp;(YEAR(Z16)+543))</f>
        <v/>
      </c>
      <c r="G16" s="189" t="inlineStr">
        <is>
          <t>• วันหยุดจะขึ้นเป็นแถบสีแดงพร้อมชื่อในทุกแบบบันทึก</t>
        </is>
      </c>
      <c r="Z16">
        <f>IFERROR(DATE(IF(MATCH(D16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16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16),0)</f>
        <v/>
      </c>
    </row>
    <row r="17">
      <c r="B17" s="182" t="inlineStr">
        <is>
          <t>ภาคเรียนที่ 2  วันเปิดเรียน</t>
        </is>
      </c>
      <c r="C17" s="187" t="n">
        <v>2</v>
      </c>
      <c r="D17" s="187" t="inlineStr">
        <is>
          <t>พฤศจิกายน</t>
        </is>
      </c>
      <c r="E17" s="188">
        <f>IF(Z17=0,"ตรวจสอบวันที่!",DAY(Z17)&amp;" "&amp;CHOOSE(MONTH(Z17),"ม.ค.","ก.พ.","มี.ค.","เม.ย.","พ.ค.","มิ.ย.","ก.ค.","ส.ค.","ก.ย.","ต.ค.","พ.ย.","ธ.ค.")&amp;" "&amp;(YEAR(Z17)+543))</f>
        <v/>
      </c>
      <c r="G17" s="189" t="inlineStr">
        <is>
          <t>• วันเสาร์-อาทิตย์เป็นสีเทาอัตโนมัติ ไม่ต้องใส่</t>
        </is>
      </c>
      <c r="Z17">
        <f>IFERROR(DATE(IF(MATCH(D17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17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17),0)</f>
        <v/>
      </c>
    </row>
    <row r="18">
      <c r="B18" s="182" t="inlineStr">
        <is>
          <t>ภาคเรียนที่ 2  วันปิดภาค</t>
        </is>
      </c>
      <c r="C18" s="187" t="n">
        <v>31</v>
      </c>
      <c r="D18" s="187" t="inlineStr">
        <is>
          <t>มีนาคม</t>
        </is>
      </c>
      <c r="E18" s="188">
        <f>IF(Z18=0,"ตรวจสอบวันที่!",DAY(Z18)&amp;" "&amp;CHOOSE(MONTH(Z18),"ม.ค.","ก.พ.","มี.ค.","เม.ย.","พ.ค.","มิ.ย.","ก.ค.","ส.ค.","ก.ย.","ต.ค.","พ.ย.","ธ.ค.")&amp;" "&amp;(YEAR(Z18)+543))</f>
        <v/>
      </c>
      <c r="G18" s="189" t="inlineStr">
        <is>
          <t>• วันพระทางจันทรคติเปลี่ยนทุกปี ตรวจสอบกับประกาศของทางราชการ</t>
        </is>
      </c>
      <c r="Z18">
        <f>IFERROR(DATE(IF(MATCH(D18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18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18),0)</f>
        <v/>
      </c>
    </row>
    <row r="19">
      <c r="G19" s="189" t="inlineStr">
        <is>
          <t>• วันหยุดพิเศษของโรงเรียน (เช่น กีฬาสี ปิดซ่อม) เพิ่มได้ที่แถวว่าง</t>
        </is>
      </c>
    </row>
    <row r="20">
      <c r="B20" s="190" t="inlineStr">
        <is>
          <t>วันหยุดระหว่างปีการศึกษา</t>
        </is>
      </c>
      <c r="G20" s="189" t="inlineStr">
        <is>
          <t>• ค่าเริ่มต้นเป็นวันหยุดปีการศึกษา 2569</t>
        </is>
      </c>
    </row>
    <row r="21">
      <c r="B21" s="191" t="inlineStr">
        <is>
          <t>ชื่อวันหยุด</t>
        </is>
      </c>
      <c r="C21" s="191" t="inlineStr">
        <is>
          <t>วันที่</t>
        </is>
      </c>
      <c r="D21" s="191" t="inlineStr">
        <is>
          <t>เดือน</t>
        </is>
      </c>
      <c r="E21" s="191" t="inlineStr">
        <is>
          <t>แสดงผล</t>
        </is>
      </c>
    </row>
    <row r="22">
      <c r="B22" s="192" t="inlineStr">
        <is>
          <t>ชดเชยวันวิสาขบูชา</t>
        </is>
      </c>
      <c r="C22" s="193" t="n">
        <v>1</v>
      </c>
      <c r="D22" s="193" t="inlineStr">
        <is>
          <t>มิถุนายน</t>
        </is>
      </c>
      <c r="E22" s="194">
        <f>IF(Z22=0,"",DAY(Z22)&amp;" "&amp;CHOOSE(MONTH(Z22),"ม.ค.","ก.พ.","มี.ค.","เม.ย.","พ.ค.","มิ.ย.","ก.ค.","ส.ค.","ก.ย.","ต.ค.","พ.ย.","ธ.ค.")&amp;" "&amp;(YEAR(Z22)+543))</f>
        <v/>
      </c>
      <c r="Z22">
        <f>IF(OR(C22="",D22=""),0,IFERROR(DATE(IF(MATCH(D22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22),0))</f>
        <v/>
      </c>
    </row>
    <row r="23">
      <c r="B23" s="192" t="inlineStr">
        <is>
          <t>วันเฉลิมฯ พระราชินี</t>
        </is>
      </c>
      <c r="C23" s="193" t="n">
        <v>3</v>
      </c>
      <c r="D23" s="193" t="inlineStr">
        <is>
          <t>มิถุนายน</t>
        </is>
      </c>
      <c r="E23" s="194">
        <f>IF(Z23=0,"",DAY(Z23)&amp;" "&amp;CHOOSE(MONTH(Z23),"ม.ค.","ก.พ.","มี.ค.","เม.ย.","พ.ค.","มิ.ย.","ก.ค.","ส.ค.","ก.ย.","ต.ค.","พ.ย.","ธ.ค.")&amp;" "&amp;(YEAR(Z23)+543))</f>
        <v/>
      </c>
      <c r="Z23">
        <f>IF(OR(C23="",D23=""),0,IFERROR(DATE(IF(MATCH(D23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23),0))</f>
        <v/>
      </c>
    </row>
    <row r="24">
      <c r="B24" s="192" t="inlineStr">
        <is>
          <t>วันเฉลิมฯ ร.10</t>
        </is>
      </c>
      <c r="C24" s="193" t="n">
        <v>28</v>
      </c>
      <c r="D24" s="193" t="inlineStr">
        <is>
          <t>กรกฎาคม</t>
        </is>
      </c>
      <c r="E24" s="194">
        <f>IF(Z24=0,"",DAY(Z24)&amp;" "&amp;CHOOSE(MONTH(Z24),"ม.ค.","ก.พ.","มี.ค.","เม.ย.","พ.ค.","มิ.ย.","ก.ค.","ส.ค.","ก.ย.","ต.ค.","พ.ย.","ธ.ค.")&amp;" "&amp;(YEAR(Z24)+543))</f>
        <v/>
      </c>
      <c r="Z24">
        <f>IF(OR(C24="",D24=""),0,IFERROR(DATE(IF(MATCH(D24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24),0))</f>
        <v/>
      </c>
    </row>
    <row r="25">
      <c r="B25" s="192" t="inlineStr">
        <is>
          <t>วันอาสาฬหบูชา</t>
        </is>
      </c>
      <c r="C25" s="193" t="n">
        <v>29</v>
      </c>
      <c r="D25" s="193" t="inlineStr">
        <is>
          <t>กรกฎาคม</t>
        </is>
      </c>
      <c r="E25" s="194">
        <f>IF(Z25=0,"",DAY(Z25)&amp;" "&amp;CHOOSE(MONTH(Z25),"ม.ค.","ก.พ.","มี.ค.","เม.ย.","พ.ค.","มิ.ย.","ก.ค.","ส.ค.","ก.ย.","ต.ค.","พ.ย.","ธ.ค.")&amp;" "&amp;(YEAR(Z25)+543))</f>
        <v/>
      </c>
      <c r="Z25">
        <f>IF(OR(C25="",D25=""),0,IFERROR(DATE(IF(MATCH(D25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25),0))</f>
        <v/>
      </c>
    </row>
    <row r="26">
      <c r="B26" s="192" t="inlineStr">
        <is>
          <t>วันเข้าพรรษา</t>
        </is>
      </c>
      <c r="C26" s="193" t="n">
        <v>30</v>
      </c>
      <c r="D26" s="193" t="inlineStr">
        <is>
          <t>กรกฎาคม</t>
        </is>
      </c>
      <c r="E26" s="194">
        <f>IF(Z26=0,"",DAY(Z26)&amp;" "&amp;CHOOSE(MONTH(Z26),"ม.ค.","ก.พ.","มี.ค.","เม.ย.","พ.ค.","มิ.ย.","ก.ค.","ส.ค.","ก.ย.","ต.ค.","พ.ย.","ธ.ค.")&amp;" "&amp;(YEAR(Z26)+543))</f>
        <v/>
      </c>
      <c r="Z26">
        <f>IF(OR(C26="",D26=""),0,IFERROR(DATE(IF(MATCH(D26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26),0))</f>
        <v/>
      </c>
    </row>
    <row r="27">
      <c r="B27" s="192" t="inlineStr">
        <is>
          <t>วันแม่แห่งชาติ</t>
        </is>
      </c>
      <c r="C27" s="193" t="n">
        <v>12</v>
      </c>
      <c r="D27" s="193" t="inlineStr">
        <is>
          <t>สิงหาคม</t>
        </is>
      </c>
      <c r="E27" s="194">
        <f>IF(Z27=0,"",DAY(Z27)&amp;" "&amp;CHOOSE(MONTH(Z27),"ม.ค.","ก.พ.","มี.ค.","เม.ย.","พ.ค.","มิ.ย.","ก.ค.","ส.ค.","ก.ย.","ต.ค.","พ.ย.","ธ.ค.")&amp;" "&amp;(YEAR(Z27)+543))</f>
        <v/>
      </c>
      <c r="Z27">
        <f>IF(OR(C27="",D27=""),0,IFERROR(DATE(IF(MATCH(D27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27),0))</f>
        <v/>
      </c>
    </row>
    <row r="28">
      <c r="B28" s="192" t="inlineStr">
        <is>
          <t>วันนวมินทรมหาราช</t>
        </is>
      </c>
      <c r="C28" s="193" t="n">
        <v>13</v>
      </c>
      <c r="D28" s="193" t="inlineStr">
        <is>
          <t>ตุลาคม</t>
        </is>
      </c>
      <c r="E28" s="194">
        <f>IF(Z28=0,"",DAY(Z28)&amp;" "&amp;CHOOSE(MONTH(Z28),"ม.ค.","ก.พ.","มี.ค.","เม.ย.","พ.ค.","มิ.ย.","ก.ค.","ส.ค.","ก.ย.","ต.ค.","พ.ย.","ธ.ค.")&amp;" "&amp;(YEAR(Z28)+543))</f>
        <v/>
      </c>
      <c r="Z28">
        <f>IF(OR(C28="",D28=""),0,IFERROR(DATE(IF(MATCH(D28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28),0))</f>
        <v/>
      </c>
    </row>
    <row r="29">
      <c r="B29" s="192" t="inlineStr">
        <is>
          <t>วันปิยมหาราช</t>
        </is>
      </c>
      <c r="C29" s="193" t="n">
        <v>23</v>
      </c>
      <c r="D29" s="193" t="inlineStr">
        <is>
          <t>ตุลาคม</t>
        </is>
      </c>
      <c r="E29" s="194">
        <f>IF(Z29=0,"",DAY(Z29)&amp;" "&amp;CHOOSE(MONTH(Z29),"ม.ค.","ก.พ.","มี.ค.","เม.ย.","พ.ค.","มิ.ย.","ก.ค.","ส.ค.","ก.ย.","ต.ค.","พ.ย.","ธ.ค.")&amp;" "&amp;(YEAR(Z29)+543))</f>
        <v/>
      </c>
      <c r="Z29">
        <f>IF(OR(C29="",D29=""),0,IFERROR(DATE(IF(MATCH(D29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29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29),0))</f>
        <v/>
      </c>
    </row>
    <row r="30">
      <c r="B30" s="192" t="inlineStr">
        <is>
          <t>ชดเชยวันพ่อแห่งชาติ</t>
        </is>
      </c>
      <c r="C30" s="193" t="n">
        <v>7</v>
      </c>
      <c r="D30" s="193" t="inlineStr">
        <is>
          <t>ธันวาคม</t>
        </is>
      </c>
      <c r="E30" s="194">
        <f>IF(Z30=0,"",DAY(Z30)&amp;" "&amp;CHOOSE(MONTH(Z30),"ม.ค.","ก.พ.","มี.ค.","เม.ย.","พ.ค.","มิ.ย.","ก.ค.","ส.ค.","ก.ย.","ต.ค.","พ.ย.","ธ.ค.")&amp;" "&amp;(YEAR(Z30)+543))</f>
        <v/>
      </c>
      <c r="Z30">
        <f>IF(OR(C30="",D30=""),0,IFERROR(DATE(IF(MATCH(D30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30),0))</f>
        <v/>
      </c>
    </row>
    <row r="31">
      <c r="B31" s="192" t="inlineStr">
        <is>
          <t>วันรัฐธรรมนูญ</t>
        </is>
      </c>
      <c r="C31" s="193" t="n">
        <v>10</v>
      </c>
      <c r="D31" s="193" t="inlineStr">
        <is>
          <t>ธันวาคม</t>
        </is>
      </c>
      <c r="E31" s="194">
        <f>IF(Z31=0,"",DAY(Z31)&amp;" "&amp;CHOOSE(MONTH(Z31),"ม.ค.","ก.พ.","มี.ค.","เม.ย.","พ.ค.","มิ.ย.","ก.ค.","ส.ค.","ก.ย.","ต.ค.","พ.ย.","ธ.ค.")&amp;" "&amp;(YEAR(Z31)+543))</f>
        <v/>
      </c>
      <c r="Z31">
        <f>IF(OR(C31="",D31=""),0,IFERROR(DATE(IF(MATCH(D31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31),0))</f>
        <v/>
      </c>
    </row>
    <row r="32">
      <c r="B32" s="192" t="inlineStr">
        <is>
          <t>วันสิ้นปี</t>
        </is>
      </c>
      <c r="C32" s="193" t="n">
        <v>31</v>
      </c>
      <c r="D32" s="193" t="inlineStr">
        <is>
          <t>ธันวาคม</t>
        </is>
      </c>
      <c r="E32" s="194">
        <f>IF(Z32=0,"",DAY(Z32)&amp;" "&amp;CHOOSE(MONTH(Z32),"ม.ค.","ก.พ.","มี.ค.","เม.ย.","พ.ค.","มิ.ย.","ก.ค.","ส.ค.","ก.ย.","ต.ค.","พ.ย.","ธ.ค.")&amp;" "&amp;(YEAR(Z32)+543))</f>
        <v/>
      </c>
      <c r="Z32">
        <f>IF(OR(C32="",D32=""),0,IFERROR(DATE(IF(MATCH(D32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32),0))</f>
        <v/>
      </c>
    </row>
    <row r="33">
      <c r="B33" s="192" t="inlineStr">
        <is>
          <t>วันขึ้นปีใหม่</t>
        </is>
      </c>
      <c r="C33" s="193" t="n">
        <v>1</v>
      </c>
      <c r="D33" s="193" t="inlineStr">
        <is>
          <t>มกราคม</t>
        </is>
      </c>
      <c r="E33" s="194">
        <f>IF(Z33=0,"",DAY(Z33)&amp;" "&amp;CHOOSE(MONTH(Z33),"ม.ค.","ก.พ.","มี.ค.","เม.ย.","พ.ค.","มิ.ย.","ก.ค.","ส.ค.","ก.ย.","ต.ค.","พ.ย.","ธ.ค.")&amp;" "&amp;(YEAR(Z33)+543))</f>
        <v/>
      </c>
      <c r="Z33">
        <f>IF(OR(C33="",D33=""),0,IFERROR(DATE(IF(MATCH(D33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33),0))</f>
        <v/>
      </c>
    </row>
    <row r="34">
      <c r="B34" s="192" t="inlineStr">
        <is>
          <t>วันครู</t>
        </is>
      </c>
      <c r="C34" s="193" t="n">
        <v>16</v>
      </c>
      <c r="D34" s="193" t="inlineStr">
        <is>
          <t>มกราคม</t>
        </is>
      </c>
      <c r="E34" s="194">
        <f>IF(Z34=0,"",DAY(Z34)&amp;" "&amp;CHOOSE(MONTH(Z34),"ม.ค.","ก.พ.","มี.ค.","เม.ย.","พ.ค.","มิ.ย.","ก.ค.","ส.ค.","ก.ย.","ต.ค.","พ.ย.","ธ.ค.")&amp;" "&amp;(YEAR(Z34)+543))</f>
        <v/>
      </c>
      <c r="Z34">
        <f>IF(OR(C34="",D34=""),0,IFERROR(DATE(IF(MATCH(D34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34),0))</f>
        <v/>
      </c>
    </row>
    <row r="35">
      <c r="B35" s="192" t="inlineStr">
        <is>
          <t>วันมาฆบูชา (ใส่วันที่)</t>
        </is>
      </c>
      <c r="C35" s="193" t="n"/>
      <c r="D35" s="193" t="n"/>
      <c r="E35" s="194">
        <f>IF(Z35=0,"",DAY(Z35)&amp;" "&amp;CHOOSE(MONTH(Z35),"ม.ค.","ก.พ.","มี.ค.","เม.ย.","พ.ค.","มิ.ย.","ก.ค.","ส.ค.","ก.ย.","ต.ค.","พ.ย.","ธ.ค.")&amp;" "&amp;(YEAR(Z35)+543))</f>
        <v/>
      </c>
      <c r="Z35">
        <f>IF(OR(C35="",D35=""),0,IFERROR(DATE(IF(MATCH(D35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35),0))</f>
        <v/>
      </c>
    </row>
    <row r="36">
      <c r="B36" s="192" t="n"/>
      <c r="C36" s="193" t="n"/>
      <c r="D36" s="193" t="n"/>
      <c r="E36" s="194">
        <f>IF(Z36=0,"",DAY(Z36)&amp;" "&amp;CHOOSE(MONTH(Z36),"ม.ค.","ก.พ.","มี.ค.","เม.ย.","พ.ค.","มิ.ย.","ก.ค.","ส.ค.","ก.ย.","ต.ค.","พ.ย.","ธ.ค.")&amp;" "&amp;(YEAR(Z36)+543))</f>
        <v/>
      </c>
      <c r="Z36">
        <f>IF(OR(C36="",D36=""),0,IFERROR(DATE(IF(MATCH(D36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36),0))</f>
        <v/>
      </c>
    </row>
    <row r="37">
      <c r="B37" s="192" t="n"/>
      <c r="C37" s="193" t="n"/>
      <c r="D37" s="193" t="n"/>
      <c r="E37" s="194">
        <f>IF(Z37=0,"",DAY(Z37)&amp;" "&amp;CHOOSE(MONTH(Z37),"ม.ค.","ก.พ.","มี.ค.","เม.ย.","พ.ค.","มิ.ย.","ก.ค.","ส.ค.","ก.ย.","ต.ค.","พ.ย.","ธ.ค.")&amp;" "&amp;(YEAR(Z37)+543))</f>
        <v/>
      </c>
      <c r="Z37">
        <f>IF(OR(C37="",D37=""),0,IFERROR(DATE(IF(MATCH(D37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37),0))</f>
        <v/>
      </c>
    </row>
    <row r="38">
      <c r="B38" s="192" t="n"/>
      <c r="C38" s="193" t="n"/>
      <c r="D38" s="193" t="n"/>
      <c r="E38" s="194">
        <f>IF(Z38=0,"",DAY(Z38)&amp;" "&amp;CHOOSE(MONTH(Z38),"ม.ค.","ก.พ.","มี.ค.","เม.ย.","พ.ค.","มิ.ย.","ก.ค.","ส.ค.","ก.ย.","ต.ค.","พ.ย.","ธ.ค.")&amp;" "&amp;(YEAR(Z38)+543))</f>
        <v/>
      </c>
      <c r="Z38">
        <f>IF(OR(C38="",D38=""),0,IFERROR(DATE(IF(MATCH(D38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38),0))</f>
        <v/>
      </c>
    </row>
    <row r="39">
      <c r="B39" s="192" t="n"/>
      <c r="C39" s="193" t="n"/>
      <c r="D39" s="193" t="n"/>
      <c r="E39" s="194">
        <f>IF(Z39=0,"",DAY(Z39)&amp;" "&amp;CHOOSE(MONTH(Z39),"ม.ค.","ก.พ.","มี.ค.","เม.ย.","พ.ค.","มิ.ย.","ก.ค.","ส.ค.","ก.ย.","ต.ค.","พ.ย.","ธ.ค.")&amp;" "&amp;(YEAR(Z39)+543))</f>
        <v/>
      </c>
      <c r="Z39">
        <f>IF(OR(C39="",D39=""),0,IFERROR(DATE(IF(MATCH(D39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39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39),0))</f>
        <v/>
      </c>
    </row>
    <row r="40">
      <c r="B40" s="192" t="n"/>
      <c r="C40" s="193" t="n"/>
      <c r="D40" s="193" t="n"/>
      <c r="E40" s="194">
        <f>IF(Z40=0,"",DAY(Z40)&amp;" "&amp;CHOOSE(MONTH(Z40),"ม.ค.","ก.พ.","มี.ค.","เม.ย.","พ.ค.","มิ.ย.","ก.ค.","ส.ค.","ก.ย.","ต.ค.","พ.ย.","ธ.ค.")&amp;" "&amp;(YEAR(Z40)+543))</f>
        <v/>
      </c>
      <c r="Z40">
        <f>IF(OR(C40="",D40=""),0,IFERROR(DATE(IF(MATCH(D40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40),0))</f>
        <v/>
      </c>
    </row>
    <row r="41">
      <c r="B41" s="192" t="n"/>
      <c r="C41" s="193" t="n"/>
      <c r="D41" s="193" t="n"/>
      <c r="E41" s="194">
        <f>IF(Z41=0,"",DAY(Z41)&amp;" "&amp;CHOOSE(MONTH(Z41),"ม.ค.","ก.พ.","มี.ค.","เม.ย.","พ.ค.","มิ.ย.","ก.ค.","ส.ค.","ก.ย.","ต.ค.","พ.ย.","ธ.ค.")&amp;" "&amp;(YEAR(Z41)+543))</f>
        <v/>
      </c>
      <c r="Z41">
        <f>IF(OR(C41="",D41=""),0,IFERROR(DATE(IF(MATCH(D41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41),0))</f>
        <v/>
      </c>
    </row>
    <row r="42">
      <c r="B42" s="192" t="n"/>
      <c r="C42" s="193" t="n"/>
      <c r="D42" s="193" t="n"/>
      <c r="E42" s="194">
        <f>IF(Z42=0,"",DAY(Z42)&amp;" "&amp;CHOOSE(MONTH(Z42),"ม.ค.","ก.พ.","มี.ค.","เม.ย.","พ.ค.","มิ.ย.","ก.ค.","ส.ค.","ก.ย.","ต.ค.","พ.ย.","ธ.ค.")&amp;" "&amp;(YEAR(Z42)+543))</f>
        <v/>
      </c>
      <c r="Z42">
        <f>IF(OR(C42="",D42=""),0,IFERROR(DATE(IF(MATCH(D42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42),0))</f>
        <v/>
      </c>
    </row>
    <row r="43">
      <c r="B43" s="192" t="n"/>
      <c r="C43" s="193" t="n"/>
      <c r="D43" s="193" t="n"/>
      <c r="E43" s="194">
        <f>IF(Z43=0,"",DAY(Z43)&amp;" "&amp;CHOOSE(MONTH(Z43),"ม.ค.","ก.พ.","มี.ค.","เม.ย.","พ.ค.","มิ.ย.","ก.ค.","ส.ค.","ก.ย.","ต.ค.","พ.ย.","ธ.ค.")&amp;" "&amp;(YEAR(Z43)+543))</f>
        <v/>
      </c>
      <c r="Z43">
        <f>IF(OR(C43="",D43=""),0,IFERROR(DATE(IF(MATCH(D43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43),0))</f>
        <v/>
      </c>
    </row>
    <row r="44">
      <c r="B44" s="192" t="n"/>
      <c r="C44" s="193" t="n"/>
      <c r="D44" s="193" t="n"/>
      <c r="E44" s="194">
        <f>IF(Z44=0,"",DAY(Z44)&amp;" "&amp;CHOOSE(MONTH(Z44),"ม.ค.","ก.พ.","มี.ค.","เม.ย.","พ.ค.","มิ.ย.","ก.ค.","ส.ค.","ก.ย.","ต.ค.","พ.ย.","ธ.ค.")&amp;" "&amp;(YEAR(Z44)+543))</f>
        <v/>
      </c>
      <c r="Z44">
        <f>IF(OR(C44="",D44=""),0,IFERROR(DATE(IF(MATCH(D44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44),0))</f>
        <v/>
      </c>
    </row>
    <row r="45">
      <c r="B45" s="192" t="n"/>
      <c r="C45" s="193" t="n"/>
      <c r="D45" s="193" t="n"/>
      <c r="E45" s="194">
        <f>IF(Z45=0,"",DAY(Z45)&amp;" "&amp;CHOOSE(MONTH(Z45),"ม.ค.","ก.พ.","มี.ค.","เม.ย.","พ.ค.","มิ.ย.","ก.ค.","ส.ค.","ก.ย.","ต.ค.","พ.ย.","ธ.ค.")&amp;" "&amp;(YEAR(Z45)+543))</f>
        <v/>
      </c>
      <c r="Z45">
        <f>IF(OR(C45="",D45=""),0,IFERROR(DATE(IF(MATCH(D45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45),0))</f>
        <v/>
      </c>
    </row>
    <row r="46">
      <c r="B46" s="192" t="n"/>
      <c r="C46" s="193" t="n"/>
      <c r="D46" s="193" t="n"/>
      <c r="E46" s="194">
        <f>IF(Z46=0,"",DAY(Z46)&amp;" "&amp;CHOOSE(MONTH(Z46),"ม.ค.","ก.พ.","มี.ค.","เม.ย.","พ.ค.","มิ.ย.","ก.ค.","ส.ค.","ก.ย.","ต.ค.","พ.ย.","ธ.ค.")&amp;" "&amp;(YEAR(Z46)+543))</f>
        <v/>
      </c>
      <c r="Z46">
        <f>IF(OR(C46="",D46=""),0,IFERROR(DATE(IF(MATCH(D46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46),0))</f>
        <v/>
      </c>
    </row>
    <row r="47">
      <c r="B47" s="192" t="n"/>
      <c r="C47" s="193" t="n"/>
      <c r="D47" s="193" t="n"/>
      <c r="E47" s="194">
        <f>IF(Z47=0,"",DAY(Z47)&amp;" "&amp;CHOOSE(MONTH(Z47),"ม.ค.","ก.พ.","มี.ค.","เม.ย.","พ.ค.","มิ.ย.","ก.ค.","ส.ค.","ก.ย.","ต.ค.","พ.ย.","ธ.ค.")&amp;" "&amp;(YEAR(Z47)+543))</f>
        <v/>
      </c>
      <c r="Z47">
        <f>IF(OR(C47="",D47=""),0,IFERROR(DATE(IF(MATCH(D47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47),0))</f>
        <v/>
      </c>
    </row>
    <row r="48">
      <c r="B48" s="192" t="n"/>
      <c r="C48" s="193" t="n"/>
      <c r="D48" s="193" t="n"/>
      <c r="E48" s="194">
        <f>IF(Z48=0,"",DAY(Z48)&amp;" "&amp;CHOOSE(MONTH(Z48),"ม.ค.","ก.พ.","มี.ค.","เม.ย.","พ.ค.","มิ.ย.","ก.ค.","ส.ค.","ก.ย.","ต.ค.","พ.ย.","ธ.ค.")&amp;" "&amp;(YEAR(Z48)+543))</f>
        <v/>
      </c>
      <c r="Z48">
        <f>IF(OR(C48="",D48=""),0,IFERROR(DATE(IF(MATCH(D48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48),0))</f>
        <v/>
      </c>
    </row>
    <row r="49">
      <c r="B49" s="192" t="n"/>
      <c r="C49" s="193" t="n"/>
      <c r="D49" s="193" t="n"/>
      <c r="E49" s="194">
        <f>IF(Z49=0,"",DAY(Z49)&amp;" "&amp;CHOOSE(MONTH(Z49),"ม.ค.","ก.พ.","มี.ค.","เม.ย.","พ.ค.","มิ.ย.","ก.ค.","ส.ค.","ก.ย.","ต.ค.","พ.ย.","ธ.ค.")&amp;" "&amp;(YEAR(Z49)+543))</f>
        <v/>
      </c>
      <c r="Z49">
        <f>IF(OR(C49="",D49=""),0,IFERROR(DATE(IF(MATCH(D49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49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49),0))</f>
        <v/>
      </c>
    </row>
    <row r="50">
      <c r="B50" s="192" t="n"/>
      <c r="C50" s="193" t="n"/>
      <c r="D50" s="193" t="n"/>
      <c r="E50" s="194">
        <f>IF(Z50=0,"",DAY(Z50)&amp;" "&amp;CHOOSE(MONTH(Z50),"ม.ค.","ก.พ.","มี.ค.","เม.ย.","พ.ค.","มิ.ย.","ก.ค.","ส.ค.","ก.ย.","ต.ค.","พ.ย.","ธ.ค.")&amp;" "&amp;(YEAR(Z50)+543))</f>
        <v/>
      </c>
      <c r="Z50">
        <f>IF(OR(C50="",D50=""),0,IFERROR(DATE(IF(MATCH(D50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50),0))</f>
        <v/>
      </c>
    </row>
    <row r="51">
      <c r="B51" s="192" t="n"/>
      <c r="C51" s="193" t="n"/>
      <c r="D51" s="193" t="n"/>
      <c r="E51" s="194">
        <f>IF(Z51=0,"",DAY(Z51)&amp;" "&amp;CHOOSE(MONTH(Z51),"ม.ค.","ก.พ.","มี.ค.","เม.ย.","พ.ค.","มิ.ย.","ก.ค.","ส.ค.","ก.ย.","ต.ค.","พ.ย.","ธ.ค.")&amp;" "&amp;(YEAR(Z51)+543))</f>
        <v/>
      </c>
      <c r="Z51">
        <f>IF(OR(C51="",D51=""),0,IFERROR(DATE(IF(MATCH(D51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51),0))</f>
        <v/>
      </c>
    </row>
    <row r="52">
      <c r="B52" s="192" t="n"/>
      <c r="C52" s="193" t="n"/>
      <c r="D52" s="193" t="n"/>
      <c r="E52" s="194">
        <f>IF(Z52=0,"",DAY(Z52)&amp;" "&amp;CHOOSE(MONTH(Z52),"ม.ค.","ก.พ.","มี.ค.","เม.ย.","พ.ค.","มิ.ย.","ก.ค.","ส.ค.","ก.ย.","ต.ค.","พ.ย.","ธ.ค.")&amp;" "&amp;(YEAR(Z52)+543))</f>
        <v/>
      </c>
      <c r="Z52">
        <f>IF(OR(C52="",D52=""),0,IFERROR(DATE(IF(MATCH(D52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52),0))</f>
        <v/>
      </c>
    </row>
    <row r="53">
      <c r="B53" s="192" t="n"/>
      <c r="C53" s="193" t="n"/>
      <c r="D53" s="193" t="n"/>
      <c r="E53" s="194">
        <f>IF(Z53=0,"",DAY(Z53)&amp;" "&amp;CHOOSE(MONTH(Z53),"ม.ค.","ก.พ.","มี.ค.","เม.ย.","พ.ค.","มิ.ย.","ก.ค.","ส.ค.","ก.ย.","ต.ค.","พ.ย.","ธ.ค.")&amp;" "&amp;(YEAR(Z53)+543))</f>
        <v/>
      </c>
      <c r="Z53">
        <f>IF(OR(C53="",D53=""),0,IFERROR(DATE(IF(MATCH(D53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53),0))</f>
        <v/>
      </c>
    </row>
    <row r="54">
      <c r="B54" s="192" t="n"/>
      <c r="C54" s="193" t="n"/>
      <c r="D54" s="193" t="n"/>
      <c r="E54" s="194">
        <f>IF(Z54=0,"",DAY(Z54)&amp;" "&amp;CHOOSE(MONTH(Z54),"ม.ค.","ก.พ.","มี.ค.","เม.ย.","พ.ค.","มิ.ย.","ก.ค.","ส.ค.","ก.ย.","ต.ค.","พ.ย.","ธ.ค.")&amp;" "&amp;(YEAR(Z54)+543))</f>
        <v/>
      </c>
      <c r="Z54">
        <f>IF(OR(C54="",D54=""),0,IFERROR(DATE(IF(MATCH(D54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54),0))</f>
        <v/>
      </c>
    </row>
    <row r="55">
      <c r="B55" s="192" t="n"/>
      <c r="C55" s="193" t="n"/>
      <c r="D55" s="193" t="n"/>
      <c r="E55" s="194">
        <f>IF(Z55=0,"",DAY(Z55)&amp;" "&amp;CHOOSE(MONTH(Z55),"ม.ค.","ก.พ.","มี.ค.","เม.ย.","พ.ค.","มิ.ย.","ก.ค.","ส.ค.","ก.ย.","ต.ค.","พ.ย.","ธ.ค.")&amp;" "&amp;(YEAR(Z55)+543))</f>
        <v/>
      </c>
      <c r="Z55">
        <f>IF(OR(C55="",D55=""),0,IFERROR(DATE(IF(MATCH(D55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55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55),0))</f>
        <v/>
      </c>
    </row>
    <row r="56">
      <c r="B56" s="192" t="n"/>
      <c r="C56" s="193" t="n"/>
      <c r="D56" s="193" t="n"/>
      <c r="E56" s="194">
        <f>IF(Z56=0,"",DAY(Z56)&amp;" "&amp;CHOOSE(MONTH(Z56),"ม.ค.","ก.พ.","มี.ค.","เม.ย.","พ.ค.","มิ.ย.","ก.ค.","ส.ค.","ก.ย.","ต.ค.","พ.ย.","ธ.ค.")&amp;" "&amp;(YEAR(Z56)+543))</f>
        <v/>
      </c>
      <c r="Z56">
        <f>IF(OR(C56="",D56=""),0,IFERROR(DATE(IF(MATCH(D56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56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56),0))</f>
        <v/>
      </c>
    </row>
    <row r="57">
      <c r="B57" s="192" t="n"/>
      <c r="C57" s="193" t="n"/>
      <c r="D57" s="193" t="n"/>
      <c r="E57" s="194">
        <f>IF(Z57=0,"",DAY(Z57)&amp;" "&amp;CHOOSE(MONTH(Z57),"ม.ค.","ก.พ.","มี.ค.","เม.ย.","พ.ค.","มิ.ย.","ก.ค.","ส.ค.","ก.ย.","ต.ค.","พ.ย.","ธ.ค.")&amp;" "&amp;(YEAR(Z57)+543))</f>
        <v/>
      </c>
      <c r="Z57">
        <f>IF(OR(C57="",D57=""),0,IFERROR(DATE(IF(MATCH(D57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57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57),0))</f>
        <v/>
      </c>
    </row>
    <row r="58">
      <c r="B58" s="192" t="n"/>
      <c r="C58" s="193" t="n"/>
      <c r="D58" s="193" t="n"/>
      <c r="E58" s="194">
        <f>IF(Z58=0,"",DAY(Z58)&amp;" "&amp;CHOOSE(MONTH(Z58),"ม.ค.","ก.พ.","มี.ค.","เม.ย.","พ.ค.","มิ.ย.","ก.ค.","ส.ค.","ก.ย.","ต.ค.","พ.ย.","ธ.ค.")&amp;" "&amp;(YEAR(Z58)+543))</f>
        <v/>
      </c>
      <c r="Z58">
        <f>IF(OR(C58="",D58=""),0,IFERROR(DATE(IF(MATCH(D58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58),0))</f>
        <v/>
      </c>
    </row>
    <row r="59">
      <c r="B59" s="192" t="n"/>
      <c r="C59" s="193" t="n"/>
      <c r="D59" s="193" t="n"/>
      <c r="E59" s="194">
        <f>IF(Z59=0,"",DAY(Z59)&amp;" "&amp;CHOOSE(MONTH(Z59),"ม.ค.","ก.พ.","มี.ค.","เม.ย.","พ.ค.","มิ.ย.","ก.ค.","ส.ค.","ก.ย.","ต.ค.","พ.ย.","ธ.ค.")&amp;" "&amp;(YEAR(Z59)+543))</f>
        <v/>
      </c>
      <c r="Z59">
        <f>IF(OR(C59="",D59=""),0,IFERROR(DATE(IF(MATCH(D59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59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59),0))</f>
        <v/>
      </c>
    </row>
    <row r="60">
      <c r="B60" s="192" t="n"/>
      <c r="C60" s="193" t="n"/>
      <c r="D60" s="193" t="n"/>
      <c r="E60" s="194">
        <f>IF(Z60=0,"",DAY(Z60)&amp;" "&amp;CHOOSE(MONTH(Z60),"ม.ค.","ก.พ.","มี.ค.","เม.ย.","พ.ค.","มิ.ย.","ก.ค.","ส.ค.","ก.ย.","ต.ค.","พ.ย.","ธ.ค.")&amp;" "&amp;(YEAR(Z60)+543))</f>
        <v/>
      </c>
      <c r="Z60">
        <f>IF(OR(C60="",D60=""),0,IFERROR(DATE(IF(MATCH(D60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60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60),0))</f>
        <v/>
      </c>
    </row>
    <row r="61">
      <c r="B61" s="192" t="n"/>
      <c r="C61" s="193" t="n"/>
      <c r="D61" s="193" t="n"/>
      <c r="E61" s="194">
        <f>IF(Z61=0,"",DAY(Z61)&amp;" "&amp;CHOOSE(MONTH(Z61),"ม.ค.","ก.พ.","มี.ค.","เม.ย.","พ.ค.","มิ.ย.","ก.ค.","ส.ค.","ก.ย.","ต.ค.","พ.ย.","ธ.ค.")&amp;" "&amp;(YEAR(Z61)+543))</f>
        <v/>
      </c>
      <c r="Z61">
        <f>IF(OR(C61="",D61=""),0,IFERROR(DATE(IF(MATCH(D61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5,$C$12-543,$C$12-542),MATCH(D61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C61)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8">
    <mergeCell ref="C11:E11"/>
    <mergeCell ref="C5:E5"/>
    <mergeCell ref="C8:E8"/>
    <mergeCell ref="C9:E9"/>
    <mergeCell ref="C7:E7"/>
    <mergeCell ref="C12:E12"/>
    <mergeCell ref="C6:E6"/>
    <mergeCell ref="C10:E10"/>
  </mergeCells>
  <dataValidations count="5">
    <dataValidation sqref="C7" showDropDown="0" showInputMessage="0" showErrorMessage="0" allowBlank="1" errorTitle="ตรวจสอบข้อมูล" error="ข้อมูลไม่ถูกต้อง กรุณาเลือกจากรายการ" type="list">
      <formula1>"อนุบาล 1,อนุบาล 2,อนุบาล 3,เตรียมอนุบาล"</formula1>
    </dataValidation>
    <dataValidation sqref="C15:C18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D15:D18" showDropDown="0" showInputMessage="0" showErrorMessage="0" allowBlank="1" errorTitle="ตรวจสอบข้อมูล" error="ข้อมูลไม่ถูกต้อง กรุณาเลือกจากรายการ" type="list">
      <formula1>"มกราคม,กุมภาพันธ์,มีนาคม,เมษายน,พฤษภาคม,มิถุนายน,กรกฎาคม,สิงหาคม,กันยายน,ตุลาคม,พฤศจิกายน,ธันวาคม"</formula1>
    </dataValidation>
    <dataValidation sqref="C22:C61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D22:D61" showDropDown="0" showInputMessage="0" showErrorMessage="0" allowBlank="1" errorTitle="ตรวจสอบข้อมูล" error="ข้อมูลไม่ถูกต้อง กรุณาเลือกจากรายการ" type="list">
      <formula1>"มกราคม,กุมภาพันธ์,มีนาคม,เมษายน,พฤษภาคม,มิถุนายน,กรกฎาคม,สิงหาคม,กันยายน,ตุลาคม,พฤศจิกายน,ธันวาคม"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82C4F9"/>
    <outlinePr summaryBelow="1" summaryRight="1"/>
    <pageSetUpPr fitToPage="1"/>
  </sheetPr>
  <dimension ref="A1:T13"/>
  <sheetViews>
    <sheetView tabSelected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10" customWidth="1" min="2" max="2"/>
    <col width="15" customWidth="1" min="3" max="3"/>
    <col width="8" customWidth="1" min="4" max="4"/>
    <col width="13" customWidth="1" min="5" max="5"/>
    <col width="15" customWidth="1" min="6" max="6"/>
    <col width="9" customWidth="1" min="7" max="7"/>
    <col width="7" customWidth="1" min="8" max="8"/>
    <col width="11" customWidth="1" min="9" max="9"/>
    <col width="7" customWidth="1" min="10" max="10"/>
    <col width="11" customWidth="1" min="11" max="11"/>
    <col width="6" customWidth="1" min="12" max="12"/>
    <col width="15" customWidth="1" min="13" max="13"/>
    <col width="21" customWidth="1" min="14" max="14"/>
    <col width="9" customWidth="1" min="15" max="15"/>
    <col width="12" customWidth="1" min="16" max="16"/>
    <col width="28" customWidth="1" min="17" max="17"/>
    <col width="13" customWidth="1" min="18" max="18"/>
    <col hidden="1" width="13" customWidth="1" min="19" max="19"/>
    <col hidden="1" width="13" customWidth="1" min="20" max="20"/>
  </cols>
  <sheetData>
    <row r="1" ht="48" customHeight="1">
      <c r="A1" s="195" t="inlineStr">
        <is>
          <t>🏠</t>
        </is>
      </c>
      <c r="B1" s="196" t="n"/>
      <c r="C1" s="196" t="n"/>
      <c r="D1" s="196" t="n"/>
      <c r="E1" s="196" t="n"/>
      <c r="F1" s="196" t="n"/>
      <c r="G1" s="196" t="n"/>
      <c r="H1" s="196" t="n"/>
      <c r="I1" s="196" t="n"/>
      <c r="J1" s="196" t="n"/>
      <c r="K1" s="196" t="n"/>
      <c r="L1" s="196" t="n"/>
      <c r="M1" s="196" t="n"/>
      <c r="N1" s="196" t="n"/>
      <c r="O1" s="196" t="n"/>
      <c r="P1" s="196" t="n"/>
      <c r="Q1" s="196" t="n"/>
      <c r="R1" s="196" t="n"/>
    </row>
    <row r="2" ht="20" customHeight="1">
      <c r="A2" s="197" t="inlineStr">
        <is>
          <t>หน้าหลัก</t>
        </is>
      </c>
      <c r="B2" s="19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99" t="n"/>
      <c r="D2" s="199" t="n"/>
      <c r="E2" s="199" t="n"/>
      <c r="F2" s="199" t="n"/>
      <c r="G2" s="199" t="n"/>
      <c r="H2" s="199" t="n"/>
      <c r="I2" s="199" t="n"/>
      <c r="J2" s="199" t="n"/>
      <c r="K2" s="199" t="n"/>
      <c r="L2" s="199" t="n"/>
      <c r="M2" s="199" t="n"/>
      <c r="N2" s="199" t="n"/>
      <c r="O2" s="199" t="n"/>
      <c r="P2" s="199" t="n"/>
      <c r="Q2" s="199" t="n"/>
      <c r="R2" s="199" t="n"/>
    </row>
    <row r="3">
      <c r="B3" s="200" t="inlineStr">
        <is>
          <t>ฉบับทดลองใช้: บันทึกได้ 5 คน (ฉบับเต็ม 60 คน)  •  กรอกรายชื่อตั้งแต่เลขที่ 1  •  แถวสีเทาเป็นตัวอย่าง (ไม่นับในการสรุป)  •  ชื่อจะไปขึ้นทุกแบบบันทึกอัตโนมัติ</t>
        </is>
      </c>
    </row>
    <row r="4"/>
    <row r="5">
      <c r="A5" s="201" t="inlineStr">
        <is>
          <t>เลขที่</t>
        </is>
      </c>
      <c r="B5" s="201" t="inlineStr">
        <is>
          <t>เลขประจำตัว</t>
        </is>
      </c>
      <c r="C5" s="201" t="inlineStr">
        <is>
          <t>เลขบัตรประชาชน</t>
        </is>
      </c>
      <c r="D5" s="201" t="inlineStr">
        <is>
          <t>คำนำหน้า</t>
        </is>
      </c>
      <c r="E5" s="201" t="inlineStr">
        <is>
          <t>ชื่อ</t>
        </is>
      </c>
      <c r="F5" s="201" t="inlineStr">
        <is>
          <t>นามสกุล</t>
        </is>
      </c>
      <c r="G5" s="201" t="inlineStr">
        <is>
          <t>ชื่อเล่น</t>
        </is>
      </c>
      <c r="H5" s="201" t="inlineStr">
        <is>
          <t>วันเกิด
(วันที่)</t>
        </is>
      </c>
      <c r="I5" s="201" t="inlineStr">
        <is>
          <t>เดือนเกิด</t>
        </is>
      </c>
      <c r="J5" s="201" t="inlineStr">
        <is>
          <t>ปีเกิด
(พ.ศ.)</t>
        </is>
      </c>
      <c r="K5" s="201" t="inlineStr">
        <is>
          <t>อายุ
(ถึงวันนี้)</t>
        </is>
      </c>
      <c r="L5" s="201" t="inlineStr">
        <is>
          <t>กรุ๊ป
เลือด</t>
        </is>
      </c>
      <c r="M5" s="201" t="inlineStr">
        <is>
          <t>โรคประจำตัว /
แพ้อาหาร-ยา</t>
        </is>
      </c>
      <c r="N5" s="201" t="inlineStr">
        <is>
          <t>ชื่อ-สกุลผู้ปกครอง</t>
        </is>
      </c>
      <c r="O5" s="201" t="inlineStr">
        <is>
          <t>เกี่ยวข้อง
เป็น</t>
        </is>
      </c>
      <c r="P5" s="201" t="inlineStr">
        <is>
          <t>เบอร์โทรศัพท์</t>
        </is>
      </c>
      <c r="Q5" s="201" t="inlineStr">
        <is>
          <t>ที่อยู่</t>
        </is>
      </c>
      <c r="R5" s="201" t="inlineStr">
        <is>
          <t>หมายเหตุ</t>
        </is>
      </c>
    </row>
    <row r="6"/>
    <row r="7"/>
    <row r="8">
      <c r="A8" s="202" t="inlineStr">
        <is>
          <t>ตัวอย่าง</t>
        </is>
      </c>
      <c r="B8" s="203" t="inlineStr">
        <is>
          <t>6901</t>
        </is>
      </c>
      <c r="C8" s="203" t="inlineStr">
        <is>
          <t>1234567890123</t>
        </is>
      </c>
      <c r="D8" s="204" t="inlineStr">
        <is>
          <t>ด.ญ.</t>
        </is>
      </c>
      <c r="E8" s="205" t="inlineStr">
        <is>
          <t>ใจดี</t>
        </is>
      </c>
      <c r="F8" s="205" t="inlineStr">
        <is>
          <t>รักเรียน</t>
        </is>
      </c>
      <c r="G8" s="204" t="inlineStr">
        <is>
          <t>น้ำฝน</t>
        </is>
      </c>
      <c r="H8" s="204" t="n">
        <v>12</v>
      </c>
      <c r="I8" s="204" t="inlineStr">
        <is>
          <t>มีนาคม</t>
        </is>
      </c>
      <c r="J8" s="204" t="n">
        <v>2565</v>
      </c>
      <c r="K8" s="204">
        <f>IF(S8="","",DATEDIF(S8,TODAY(),"y")&amp;" ปี "&amp;DATEDIF(S8,TODAY(),"ym")&amp;" ด.")</f>
        <v/>
      </c>
      <c r="L8" s="204" t="inlineStr">
        <is>
          <t>O</t>
        </is>
      </c>
      <c r="M8" s="205" t="inlineStr">
        <is>
          <t>แพ้กุ้ง</t>
        </is>
      </c>
      <c r="N8" s="205" t="inlineStr">
        <is>
          <t>นางสมศรี รักเรียน</t>
        </is>
      </c>
      <c r="O8" s="204" t="inlineStr">
        <is>
          <t>แม่</t>
        </is>
      </c>
      <c r="P8" s="203" t="inlineStr">
        <is>
          <t>0812345678</t>
        </is>
      </c>
      <c r="Q8" s="205" t="inlineStr">
        <is>
          <t>12 ม.3 ต.ในเมือง</t>
        </is>
      </c>
      <c r="R8" s="205" t="inlineStr"/>
      <c r="S8">
        <f>IF(OR(H8="",I8="",J8=""),"",IFERROR(DATE(J8-543,MATCH(I8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8),""))</f>
        <v/>
      </c>
      <c r="T8">
        <f>IF(E8="","",D8&amp;E8&amp;" "&amp;F8)</f>
        <v/>
      </c>
    </row>
    <row r="9">
      <c r="A9" s="206" t="n">
        <v>1</v>
      </c>
      <c r="B9" s="207" t="n"/>
      <c r="C9" s="207" t="n"/>
      <c r="D9" s="193" t="n"/>
      <c r="E9" s="192" t="n"/>
      <c r="F9" s="192" t="n"/>
      <c r="G9" s="193" t="n"/>
      <c r="H9" s="193" t="n"/>
      <c r="I9" s="193" t="n"/>
      <c r="J9" s="193" t="n"/>
      <c r="K9" s="157">
        <f>IF(S9="","",DATEDIF(S9,TODAY(),"y")&amp;" ปี "&amp;DATEDIF(S9,TODAY(),"ym")&amp;" ด.")</f>
        <v/>
      </c>
      <c r="L9" s="193" t="n"/>
      <c r="M9" s="192" t="n"/>
      <c r="N9" s="192" t="n"/>
      <c r="O9" s="193" t="n"/>
      <c r="P9" s="207" t="n"/>
      <c r="Q9" s="192" t="n"/>
      <c r="R9" s="192" t="n"/>
      <c r="S9">
        <f>IF(OR(H9="",I9="",J9=""),"",IFERROR(DATE(J9-543,MATCH(I9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9),""))</f>
        <v/>
      </c>
      <c r="T9">
        <f>IF(E9="","",D9&amp;E9&amp;" "&amp;F9)</f>
        <v/>
      </c>
    </row>
    <row r="10">
      <c r="A10" s="206" t="n">
        <v>2</v>
      </c>
      <c r="B10" s="207" t="n"/>
      <c r="C10" s="207" t="n"/>
      <c r="D10" s="193" t="n"/>
      <c r="E10" s="192" t="n"/>
      <c r="F10" s="192" t="n"/>
      <c r="G10" s="193" t="n"/>
      <c r="H10" s="193" t="n"/>
      <c r="I10" s="193" t="n"/>
      <c r="J10" s="193" t="n"/>
      <c r="K10" s="157">
        <f>IF(S10="","",DATEDIF(S10,TODAY(),"y")&amp;" ปี "&amp;DATEDIF(S10,TODAY(),"ym")&amp;" ด.")</f>
        <v/>
      </c>
      <c r="L10" s="193" t="n"/>
      <c r="M10" s="192" t="n"/>
      <c r="N10" s="192" t="n"/>
      <c r="O10" s="193" t="n"/>
      <c r="P10" s="207" t="n"/>
      <c r="Q10" s="192" t="n"/>
      <c r="R10" s="192" t="n"/>
      <c r="S10">
        <f>IF(OR(H10="",I10="",J10=""),"",IFERROR(DATE(J10-543,MATCH(I10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10),""))</f>
        <v/>
      </c>
      <c r="T10">
        <f>IF(E10="","",D10&amp;E10&amp;" "&amp;F10)</f>
        <v/>
      </c>
    </row>
    <row r="11">
      <c r="A11" s="206" t="n">
        <v>3</v>
      </c>
      <c r="B11" s="207" t="n"/>
      <c r="C11" s="207" t="n"/>
      <c r="D11" s="193" t="n"/>
      <c r="E11" s="192" t="n"/>
      <c r="F11" s="192" t="n"/>
      <c r="G11" s="193" t="n"/>
      <c r="H11" s="193" t="n"/>
      <c r="I11" s="193" t="n"/>
      <c r="J11" s="193" t="n"/>
      <c r="K11" s="157">
        <f>IF(S11="","",DATEDIF(S11,TODAY(),"y")&amp;" ปี "&amp;DATEDIF(S11,TODAY(),"ym")&amp;" ด.")</f>
        <v/>
      </c>
      <c r="L11" s="193" t="n"/>
      <c r="M11" s="192" t="n"/>
      <c r="N11" s="192" t="n"/>
      <c r="O11" s="193" t="n"/>
      <c r="P11" s="207" t="n"/>
      <c r="Q11" s="192" t="n"/>
      <c r="R11" s="192" t="n"/>
      <c r="S11">
        <f>IF(OR(H11="",I11="",J11=""),"",IFERROR(DATE(J11-543,MATCH(I11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11),""))</f>
        <v/>
      </c>
      <c r="T11">
        <f>IF(E11="","",D11&amp;E11&amp;" "&amp;F11)</f>
        <v/>
      </c>
    </row>
    <row r="12">
      <c r="A12" s="206" t="n">
        <v>4</v>
      </c>
      <c r="B12" s="207" t="n"/>
      <c r="C12" s="207" t="n"/>
      <c r="D12" s="193" t="n"/>
      <c r="E12" s="192" t="n"/>
      <c r="F12" s="192" t="n"/>
      <c r="G12" s="193" t="n"/>
      <c r="H12" s="193" t="n"/>
      <c r="I12" s="193" t="n"/>
      <c r="J12" s="193" t="n"/>
      <c r="K12" s="157">
        <f>IF(S12="","",DATEDIF(S12,TODAY(),"y")&amp;" ปี "&amp;DATEDIF(S12,TODAY(),"ym")&amp;" ด.")</f>
        <v/>
      </c>
      <c r="L12" s="193" t="n"/>
      <c r="M12" s="192" t="n"/>
      <c r="N12" s="192" t="n"/>
      <c r="O12" s="193" t="n"/>
      <c r="P12" s="207" t="n"/>
      <c r="Q12" s="192" t="n"/>
      <c r="R12" s="192" t="n"/>
      <c r="S12">
        <f>IF(OR(H12="",I12="",J12=""),"",IFERROR(DATE(J12-543,MATCH(I12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12),""))</f>
        <v/>
      </c>
      <c r="T12">
        <f>IF(E12="","",D12&amp;E12&amp;" "&amp;F12)</f>
        <v/>
      </c>
    </row>
    <row r="13">
      <c r="A13" s="206" t="n">
        <v>5</v>
      </c>
      <c r="B13" s="207" t="n"/>
      <c r="C13" s="207" t="n"/>
      <c r="D13" s="193" t="n"/>
      <c r="E13" s="192" t="n"/>
      <c r="F13" s="192" t="n"/>
      <c r="G13" s="193" t="n"/>
      <c r="H13" s="193" t="n"/>
      <c r="I13" s="193" t="n"/>
      <c r="J13" s="193" t="n"/>
      <c r="K13" s="157">
        <f>IF(S13="","",DATEDIF(S13,TODAY(),"y")&amp;" ปี "&amp;DATEDIF(S13,TODAY(),"ym")&amp;" ด.")</f>
        <v/>
      </c>
      <c r="L13" s="193" t="n"/>
      <c r="M13" s="192" t="n"/>
      <c r="N13" s="192" t="n"/>
      <c r="O13" s="193" t="n"/>
      <c r="P13" s="207" t="n"/>
      <c r="Q13" s="192" t="n"/>
      <c r="R13" s="192" t="n"/>
      <c r="S13">
        <f>IF(OR(H13="",I13="",J13=""),"",IFERROR(DATE(J13-543,MATCH(I13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H13),""))</f>
        <v/>
      </c>
      <c r="T13">
        <f>IF(E13="","",D13&amp;E13&amp;" "&amp;F13)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8">
    <mergeCell ref="I5:I7"/>
    <mergeCell ref="M5:M7"/>
    <mergeCell ref="N5:N7"/>
    <mergeCell ref="R5:R7"/>
    <mergeCell ref="D5:D7"/>
    <mergeCell ref="C5:C7"/>
    <mergeCell ref="A5:A7"/>
    <mergeCell ref="G5:G7"/>
    <mergeCell ref="E5:E7"/>
    <mergeCell ref="K5:K7"/>
    <mergeCell ref="H5:H7"/>
    <mergeCell ref="F5:F7"/>
    <mergeCell ref="L5:L7"/>
    <mergeCell ref="J5:J7"/>
    <mergeCell ref="O5:O7"/>
    <mergeCell ref="P5:P7"/>
    <mergeCell ref="B5:B7"/>
    <mergeCell ref="Q5:Q7"/>
  </mergeCells>
  <dataValidations count="6">
    <dataValidation sqref="D9:D13" showDropDown="0" showInputMessage="0" showErrorMessage="0" allowBlank="1" errorTitle="ตรวจสอบข้อมูล" error="ข้อมูลไม่ถูกต้อง กรุณาเลือกจากรายการ" type="list">
      <formula1>"ด.ช.,ด.ญ."</formula1>
    </dataValidation>
    <dataValidation sqref="H9:H1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I9:I13" showDropDown="0" showInputMessage="0" showErrorMessage="0" allowBlank="1" errorTitle="ตรวจสอบข้อมูล" error="ข้อมูลไม่ถูกต้อง กรุณาเลือกจากรายการ" type="list">
      <formula1>"มกราคม,กุมภาพันธ์,มีนาคม,เมษายน,พฤษภาคม,มิถุนายน,กรกฎาคม,สิงหาคม,กันยายน,ตุลาคม,พฤศจิกายน,ธันวาคม"</formula1>
    </dataValidation>
    <dataValidation sqref="J9:J13" showDropDown="0" showInputMessage="0" showErrorMessage="0" allowBlank="1" errorTitle="ตรวจสอบข้อมูล" error="ใส่ปี พ.ศ. 4 หลัก เช่น 2565" type="whole" operator="between">
      <formula1>2550</formula1>
      <formula2>2600</formula2>
    </dataValidation>
    <dataValidation sqref="L9:L13" showDropDown="0" showInputMessage="0" showErrorMessage="0" allowBlank="1" errorTitle="ตรวจสอบข้อมูล" error="ข้อมูลไม่ถูกต้อง กรุณาเลือกจากรายการ" type="list">
      <formula1>"A,B,AB,O,ไม่ทราบ"</formula1>
    </dataValidation>
    <dataValidation sqref="O9:O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"พ่อ,แม่,ปู่,ย่า,ตา,ยาย,ลุง,ป้า,น้า,อา,พี่,อื่น ๆ"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58B7C6"/>
    <outlinePr summaryBelow="1" summaryRight="1"/>
    <pageSetUpPr fitToPage="1"/>
  </sheetPr>
  <dimension ref="A1:R13"/>
  <sheetViews>
    <sheetView tabSelected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" customWidth="1" min="3" max="3"/>
    <col width="12" customWidth="1" min="4" max="4"/>
    <col width="18" customWidth="1" min="5" max="5"/>
    <col width="18" customWidth="1" min="6" max="6"/>
    <col width="8" customWidth="1" min="7" max="7"/>
    <col width="11" customWidth="1" min="8" max="8"/>
    <col width="18" customWidth="1" min="9" max="9"/>
    <col width="8" customWidth="1" min="10" max="10"/>
    <col width="11" customWidth="1" min="11" max="11"/>
    <col width="18" customWidth="1" min="12" max="12"/>
    <col width="8" customWidth="1" min="13" max="13"/>
    <col width="11" customWidth="1" min="14" max="14"/>
    <col width="24" customWidth="1" min="15" max="15"/>
    <col hidden="1" width="13" customWidth="1" min="17" max="17"/>
    <col hidden="1" width="13" customWidth="1" min="18" max="18"/>
  </cols>
  <sheetData>
    <row r="1" ht="48" customHeight="1">
      <c r="A1" s="208" t="inlineStr">
        <is>
          <t>🏠</t>
        </is>
      </c>
      <c r="B1" s="209" t="n"/>
      <c r="C1" s="209" t="n"/>
      <c r="D1" s="209" t="n"/>
      <c r="E1" s="209" t="n"/>
      <c r="F1" s="209" t="n"/>
      <c r="G1" s="209" t="n"/>
      <c r="H1" s="209" t="n"/>
      <c r="I1" s="209" t="n"/>
      <c r="J1" s="209" t="n"/>
      <c r="K1" s="209" t="n"/>
      <c r="L1" s="209" t="n"/>
      <c r="M1" s="209" t="n"/>
      <c r="N1" s="209" t="n"/>
      <c r="O1" s="209" t="n"/>
      <c r="P1" s="209" t="n"/>
    </row>
    <row r="2" ht="20" customHeight="1">
      <c r="A2" s="210" t="inlineStr">
        <is>
          <t>หน้าหลัก</t>
        </is>
      </c>
      <c r="B2" s="21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12" t="n"/>
      <c r="D2" s="212" t="n"/>
      <c r="E2" s="212" t="n"/>
      <c r="F2" s="212" t="n"/>
      <c r="G2" s="212" t="n"/>
      <c r="H2" s="212" t="n"/>
      <c r="I2" s="212" t="n"/>
      <c r="J2" s="212" t="n"/>
      <c r="K2" s="212" t="n"/>
      <c r="L2" s="212" t="n"/>
      <c r="M2" s="212" t="n"/>
      <c r="N2" s="212" t="n"/>
      <c r="O2" s="212" t="n"/>
      <c r="P2" s="212" t="n"/>
    </row>
    <row r="3">
      <c r="B3" s="213" t="inlineStr">
        <is>
          <t>ผู้ปกครองในทะเบียนนักเรียนมีสิทธิ์รับอัตโนมัติ  •  เพิ่มผู้มีสิทธิ์รับได้อีก 3 คน  •  ใส่ข้อห้ามสำคัญในช่องสีแดง (เช่น คำสั่งศาล / บุคคลที่ห้ามรับ)</t>
        </is>
      </c>
    </row>
    <row r="4"/>
    <row r="5">
      <c r="A5" s="214" t="inlineStr">
        <is>
          <t>เลขที่</t>
        </is>
      </c>
      <c r="B5" s="214" t="inlineStr">
        <is>
          <t>ชื่อ - สกุล</t>
        </is>
      </c>
      <c r="C5" s="215" t="inlineStr">
        <is>
          <t>ชื่อเล่น</t>
        </is>
      </c>
      <c r="D5" s="216" t="inlineStr">
        <is>
          <t>การเดินทาง
กลับบ้าน</t>
        </is>
      </c>
      <c r="E5" s="215" t="inlineStr">
        <is>
          <t>ผู้ปกครอง
(จากทะเบียน)</t>
        </is>
      </c>
      <c r="F5" s="216" t="inlineStr">
        <is>
          <t>ผู้มีสิทธิ์รับ 1
ชื่อ-สกุล</t>
        </is>
      </c>
      <c r="G5" s="216" t="inlineStr">
        <is>
          <t>เกี่ยวข้อง
เป็น</t>
        </is>
      </c>
      <c r="H5" s="216" t="inlineStr">
        <is>
          <t>โทรศัพท์</t>
        </is>
      </c>
      <c r="I5" s="216" t="inlineStr">
        <is>
          <t>ผู้มีสิทธิ์รับ 2
ชื่อ-สกุล</t>
        </is>
      </c>
      <c r="J5" s="216" t="inlineStr">
        <is>
          <t>เกี่ยวข้อง
เป็น</t>
        </is>
      </c>
      <c r="K5" s="216" t="inlineStr">
        <is>
          <t>โทรศัพท์</t>
        </is>
      </c>
      <c r="L5" s="216" t="inlineStr">
        <is>
          <t>ผู้มีสิทธิ์รับ 3
ชื่อ-สกุล</t>
        </is>
      </c>
      <c r="M5" s="216" t="inlineStr">
        <is>
          <t>เกี่ยวข้อง
เป็น</t>
        </is>
      </c>
      <c r="N5" s="216" t="inlineStr">
        <is>
          <t>โทรศัพท์</t>
        </is>
      </c>
      <c r="O5" s="217" t="inlineStr">
        <is>
          <t>⚠ ข้อห้าม / ข้อควรระวัง</t>
        </is>
      </c>
    </row>
    <row r="6"/>
    <row r="7"/>
    <row r="8"/>
    <row r="9">
      <c r="A9" s="218" t="n">
        <v>1</v>
      </c>
      <c r="B9" s="219">
        <f>'ข้อมูลนักเรียน'!T9</f>
        <v/>
      </c>
      <c r="C9" s="220">
        <f>IF(B9="","",'ข้อมูลนักเรียน'!G9&amp;"")</f>
        <v/>
      </c>
      <c r="D9" s="221" t="n"/>
      <c r="E9" s="222">
        <f>IF(B9="","",'ข้อมูลนักเรียน'!N9&amp;"")</f>
        <v/>
      </c>
      <c r="F9" s="223" t="n"/>
      <c r="G9" s="223" t="n"/>
      <c r="H9" s="224" t="n"/>
      <c r="I9" s="223" t="n"/>
      <c r="J9" s="223" t="n"/>
      <c r="K9" s="224" t="n"/>
      <c r="L9" s="223" t="n"/>
      <c r="M9" s="223" t="n"/>
      <c r="N9" s="224" t="n"/>
      <c r="O9" s="225" t="n"/>
      <c r="Q9">
        <f>E9&amp;" | "&amp;F9&amp;" | "&amp;I9&amp;" | "&amp;L9</f>
        <v/>
      </c>
      <c r="R9">
        <f>TRIM(IF(F9="","",F9&amp;IF(G9="",""," ("&amp;G9&amp;")"))&amp;IF(I9="","",", "&amp;I9&amp;IF(J9="",""," ("&amp;J9&amp;")"))&amp;IF(L9="","",", "&amp;L9&amp;IF(M9="",""," ("&amp;M9&amp;")")))</f>
        <v/>
      </c>
    </row>
    <row r="10">
      <c r="A10" s="226" t="n">
        <v>2</v>
      </c>
      <c r="B10" s="227">
        <f>'ข้อมูลนักเรียน'!T10</f>
        <v/>
      </c>
      <c r="C10" s="220">
        <f>IF(B10="","",'ข้อมูลนักเรียน'!G10&amp;"")</f>
        <v/>
      </c>
      <c r="D10" s="221" t="n"/>
      <c r="E10" s="222">
        <f>IF(B10="","",'ข้อมูลนักเรียน'!N10&amp;"")</f>
        <v/>
      </c>
      <c r="F10" s="223" t="n"/>
      <c r="G10" s="223" t="n"/>
      <c r="H10" s="224" t="n"/>
      <c r="I10" s="223" t="n"/>
      <c r="J10" s="223" t="n"/>
      <c r="K10" s="224" t="n"/>
      <c r="L10" s="223" t="n"/>
      <c r="M10" s="223" t="n"/>
      <c r="N10" s="224" t="n"/>
      <c r="O10" s="225" t="n"/>
      <c r="Q10">
        <f>E10&amp;" | "&amp;F10&amp;" | "&amp;I10&amp;" | "&amp;L10</f>
        <v/>
      </c>
      <c r="R10">
        <f>TRIM(IF(F10="","",F10&amp;IF(G10="",""," ("&amp;G10&amp;")"))&amp;IF(I10="","",", "&amp;I10&amp;IF(J10="",""," ("&amp;J10&amp;")"))&amp;IF(L10="","",", "&amp;L10&amp;IF(M10="",""," ("&amp;M10&amp;")")))</f>
        <v/>
      </c>
    </row>
    <row r="11">
      <c r="A11" s="218" t="n">
        <v>3</v>
      </c>
      <c r="B11" s="219">
        <f>'ข้อมูลนักเรียน'!T11</f>
        <v/>
      </c>
      <c r="C11" s="220">
        <f>IF(B11="","",'ข้อมูลนักเรียน'!G11&amp;"")</f>
        <v/>
      </c>
      <c r="D11" s="221" t="n"/>
      <c r="E11" s="222">
        <f>IF(B11="","",'ข้อมูลนักเรียน'!N11&amp;"")</f>
        <v/>
      </c>
      <c r="F11" s="223" t="n"/>
      <c r="G11" s="223" t="n"/>
      <c r="H11" s="224" t="n"/>
      <c r="I11" s="223" t="n"/>
      <c r="J11" s="223" t="n"/>
      <c r="K11" s="224" t="n"/>
      <c r="L11" s="223" t="n"/>
      <c r="M11" s="223" t="n"/>
      <c r="N11" s="224" t="n"/>
      <c r="O11" s="225" t="n"/>
      <c r="Q11">
        <f>E11&amp;" | "&amp;F11&amp;" | "&amp;I11&amp;" | "&amp;L11</f>
        <v/>
      </c>
      <c r="R11">
        <f>TRIM(IF(F11="","",F11&amp;IF(G11="",""," ("&amp;G11&amp;")"))&amp;IF(I11="","",", "&amp;I11&amp;IF(J11="",""," ("&amp;J11&amp;")"))&amp;IF(L11="","",", "&amp;L11&amp;IF(M11="",""," ("&amp;M11&amp;")")))</f>
        <v/>
      </c>
    </row>
    <row r="12">
      <c r="A12" s="226" t="n">
        <v>4</v>
      </c>
      <c r="B12" s="227">
        <f>'ข้อมูลนักเรียน'!T12</f>
        <v/>
      </c>
      <c r="C12" s="220">
        <f>IF(B12="","",'ข้อมูลนักเรียน'!G12&amp;"")</f>
        <v/>
      </c>
      <c r="D12" s="221" t="n"/>
      <c r="E12" s="222">
        <f>IF(B12="","",'ข้อมูลนักเรียน'!N12&amp;"")</f>
        <v/>
      </c>
      <c r="F12" s="223" t="n"/>
      <c r="G12" s="223" t="n"/>
      <c r="H12" s="224" t="n"/>
      <c r="I12" s="223" t="n"/>
      <c r="J12" s="223" t="n"/>
      <c r="K12" s="224" t="n"/>
      <c r="L12" s="223" t="n"/>
      <c r="M12" s="223" t="n"/>
      <c r="N12" s="224" t="n"/>
      <c r="O12" s="225" t="n"/>
      <c r="Q12">
        <f>E12&amp;" | "&amp;F12&amp;" | "&amp;I12&amp;" | "&amp;L12</f>
        <v/>
      </c>
      <c r="R12">
        <f>TRIM(IF(F12="","",F12&amp;IF(G12="",""," ("&amp;G12&amp;")"))&amp;IF(I12="","",", "&amp;I12&amp;IF(J12="",""," ("&amp;J12&amp;")"))&amp;IF(L12="","",", "&amp;L12&amp;IF(M12="",""," ("&amp;M12&amp;")")))</f>
        <v/>
      </c>
    </row>
    <row r="13">
      <c r="A13" s="218" t="n">
        <v>5</v>
      </c>
      <c r="B13" s="219">
        <f>'ข้อมูลนักเรียน'!T13</f>
        <v/>
      </c>
      <c r="C13" s="220">
        <f>IF(B13="","",'ข้อมูลนักเรียน'!G13&amp;"")</f>
        <v/>
      </c>
      <c r="D13" s="221" t="n"/>
      <c r="E13" s="222">
        <f>IF(B13="","",'ข้อมูลนักเรียน'!N13&amp;"")</f>
        <v/>
      </c>
      <c r="F13" s="223" t="n"/>
      <c r="G13" s="223" t="n"/>
      <c r="H13" s="224" t="n"/>
      <c r="I13" s="223" t="n"/>
      <c r="J13" s="223" t="n"/>
      <c r="K13" s="224" t="n"/>
      <c r="L13" s="223" t="n"/>
      <c r="M13" s="223" t="n"/>
      <c r="N13" s="224" t="n"/>
      <c r="O13" s="225" t="n"/>
      <c r="Q13">
        <f>E13&amp;" | "&amp;F13&amp;" | "&amp;I13&amp;" | "&amp;L13</f>
        <v/>
      </c>
      <c r="R13">
        <f>TRIM(IF(F13="","",F13&amp;IF(G13="",""," ("&amp;G13&amp;")"))&amp;IF(I13="","",", "&amp;I13&amp;IF(J13="",""," ("&amp;J13&amp;")"))&amp;IF(L13="","",", "&amp;L13&amp;IF(M13="",""," ("&amp;M13&amp;")")))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5">
    <mergeCell ref="N5:N8"/>
    <mergeCell ref="B5:B8"/>
    <mergeCell ref="I5:I8"/>
    <mergeCell ref="K5:K8"/>
    <mergeCell ref="C5:C8"/>
    <mergeCell ref="M5:M8"/>
    <mergeCell ref="L5:L8"/>
    <mergeCell ref="A5:A8"/>
    <mergeCell ref="O5:O8"/>
    <mergeCell ref="E5:E8"/>
    <mergeCell ref="H5:H8"/>
    <mergeCell ref="F5:F8"/>
    <mergeCell ref="D5:D8"/>
    <mergeCell ref="J5:J8"/>
    <mergeCell ref="G5:G8"/>
  </mergeCells>
  <conditionalFormatting sqref="A9:LH13">
    <cfRule type="expression" priority="1" dxfId="0" stopIfTrue="1">
      <formula>$B9=""</formula>
    </cfRule>
  </conditionalFormatting>
  <dataValidations count="4">
    <dataValidation sqref="D9:D13" showDropDown="0" showInputMessage="0" showErrorMessage="0" allowBlank="1" errorTitle="ตรวจสอบข้อมูล" error="ข้อมูลไม่ถูกต้อง กรุณาเลือกจากรายการ" type="list">
      <formula1>"ผู้ปกครองรับ-ส่ง,รถรับ-ส่งโรงเรียน,เดินทางกับพี่,อื่น ๆ"</formula1>
    </dataValidation>
    <dataValidation sqref="G9:G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"พ่อ,แม่,ปู่,ย่า,ตา,ยาย,ลุง,ป้า,น้า,อา,พี่,คนขับรถ,อื่น ๆ"</formula1>
    </dataValidation>
    <dataValidation sqref="J9:J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"พ่อ,แม่,ปู่,ย่า,ตา,ยาย,ลุง,ป้า,น้า,อา,พี่,คนขับรถ,อื่น ๆ"</formula1>
    </dataValidation>
    <dataValidation sqref="M9:M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"พ่อ,แม่,ปู่,ย่า,ตา,ยาย,ลุง,ป้า,น้า,อา,พี่,คนขับรถ,อื่น ๆ"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58B7C6"/>
    <outlinePr summaryBelow="1" summaryRight="1"/>
    <pageSetUpPr fitToPage="1"/>
  </sheetPr>
  <dimension ref="A1:L406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6" customWidth="1" min="3" max="3"/>
    <col width="22" customWidth="1" min="4" max="4"/>
    <col width="15" customWidth="1" min="5" max="5"/>
    <col width="7" customWidth="1" min="6" max="6"/>
    <col width="20" customWidth="1" min="7" max="7"/>
    <col width="9" customWidth="1" min="8" max="8"/>
    <col width="17" customWidth="1" min="9" max="9"/>
    <col width="14" customWidth="1" min="10" max="10"/>
    <col width="18" customWidth="1" min="11" max="11"/>
    <col width="22" customWidth="1" min="12" max="12"/>
  </cols>
  <sheetData>
    <row r="1" ht="48" customHeight="1">
      <c r="A1" s="208" t="inlineStr">
        <is>
          <t>🏠</t>
        </is>
      </c>
      <c r="B1" s="209" t="n"/>
      <c r="C1" s="209" t="n"/>
      <c r="D1" s="209" t="n"/>
      <c r="E1" s="209" t="n"/>
      <c r="F1" s="209" t="n"/>
      <c r="G1" s="209" t="n"/>
      <c r="H1" s="209" t="n"/>
      <c r="I1" s="209" t="n"/>
      <c r="J1" s="209" t="n"/>
      <c r="K1" s="209" t="n"/>
      <c r="L1" s="209" t="n"/>
    </row>
    <row r="2" ht="20" customHeight="1">
      <c r="A2" s="210" t="inlineStr">
        <is>
          <t>หน้าหลัก</t>
        </is>
      </c>
      <c r="B2" s="21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12" t="n"/>
      <c r="D2" s="212" t="n"/>
      <c r="E2" s="212" t="n"/>
      <c r="F2" s="212" t="n"/>
      <c r="G2" s="212" t="n"/>
      <c r="H2" s="212" t="n"/>
      <c r="I2" s="212" t="n"/>
      <c r="J2" s="212" t="n"/>
      <c r="K2" s="212" t="n"/>
      <c r="L2" s="212" t="n"/>
    </row>
    <row r="3">
      <c r="B3" s="213" t="inlineStr">
        <is>
          <t>ใส่เลขที่นักเรียนและชื่อผู้มารับ  •  ระบบตรวจกับทะเบียนผู้มีสิทธิ์รับให้ทันที  •  ⚠ สีแดง = ไม่อยู่ในรายชื่อ ควรโทรยืนยันผู้ปกครองก่อนส่งตัวเด็ก</t>
        </is>
      </c>
    </row>
    <row r="4"/>
    <row r="5">
      <c r="A5" s="228" t="inlineStr">
        <is>
          <t>วันที่</t>
        </is>
      </c>
      <c r="B5" s="228" t="inlineStr">
        <is>
          <t>เดือน</t>
        </is>
      </c>
      <c r="C5" s="228" t="inlineStr">
        <is>
          <t>เลขที่</t>
        </is>
      </c>
      <c r="D5" s="228" t="inlineStr">
        <is>
          <t>ชื่อ - สกุลนักเรียน</t>
        </is>
      </c>
      <c r="E5" s="228" t="inlineStr">
        <is>
          <t>ประเภท</t>
        </is>
      </c>
      <c r="F5" s="228" t="inlineStr">
        <is>
          <t>เวลา</t>
        </is>
      </c>
      <c r="G5" s="228" t="inlineStr">
        <is>
          <t>ชื่อผู้รับ / ผู้ส่ง</t>
        </is>
      </c>
      <c r="H5" s="228" t="inlineStr">
        <is>
          <t>เกี่ยวข้อง
เป็น</t>
        </is>
      </c>
      <c r="I5" s="228" t="inlineStr">
        <is>
          <t>ตรวจสอบสิทธิ์</t>
        </is>
      </c>
      <c r="J5" s="228" t="inlineStr">
        <is>
          <t>ครูผู้อนุญาต</t>
        </is>
      </c>
      <c r="K5" s="228" t="inlineStr">
        <is>
          <t>หมายเหตุ</t>
        </is>
      </c>
      <c r="L5" s="229" t="inlineStr">
        <is>
          <t>⚠ ข้อห้ามของเด็กคนนี้</t>
        </is>
      </c>
    </row>
    <row r="6"/>
    <row r="7">
      <c r="A7" s="221" t="n"/>
      <c r="B7" s="221" t="n"/>
      <c r="C7" s="221" t="n"/>
      <c r="D7" s="230">
        <f>IF(C7="","",IFERROR(INDEX('ข้อมูลนักเรียน'!$T$9:$T$13,C7),"ไม่พบเลขที่"))</f>
        <v/>
      </c>
      <c r="E7" s="221" t="n"/>
      <c r="F7" s="231" t="n"/>
      <c r="G7" s="223" t="n"/>
      <c r="H7" s="221" t="n"/>
      <c r="I7" s="232">
        <f>IF(OR(C7="",G7=""),"",IF(ISNUMBER(SEARCH(TRIM(G7),INDEX('ผู้รับ-ส่ง'!$Q$9:$Q$13,C7))),"✓ มีสิทธิ์รับ","⚠ ไม่อยู่ในรายชื่อ"))</f>
        <v/>
      </c>
      <c r="J7" s="223" t="n"/>
      <c r="K7" s="223" t="n"/>
      <c r="L7" s="233">
        <f>IF(C7="","",IFERROR(INDEX('ผู้รับ-ส่ง'!$O$9:$O$13,C7)&amp;"",""))</f>
        <v/>
      </c>
    </row>
    <row r="8">
      <c r="A8" s="221" t="n"/>
      <c r="B8" s="221" t="n"/>
      <c r="C8" s="221" t="n"/>
      <c r="D8" s="230">
        <f>IF(C8="","",IFERROR(INDEX('ข้อมูลนักเรียน'!$T$9:$T$13,C8),"ไม่พบเลขที่"))</f>
        <v/>
      </c>
      <c r="E8" s="221" t="n"/>
      <c r="F8" s="231" t="n"/>
      <c r="G8" s="223" t="n"/>
      <c r="H8" s="221" t="n"/>
      <c r="I8" s="232">
        <f>IF(OR(C8="",G8=""),"",IF(ISNUMBER(SEARCH(TRIM(G8),INDEX('ผู้รับ-ส่ง'!$Q$9:$Q$13,C8))),"✓ มีสิทธิ์รับ","⚠ ไม่อยู่ในรายชื่อ"))</f>
        <v/>
      </c>
      <c r="J8" s="223" t="n"/>
      <c r="K8" s="223" t="n"/>
      <c r="L8" s="233">
        <f>IF(C8="","",IFERROR(INDEX('ผู้รับ-ส่ง'!$O$9:$O$13,C8)&amp;"",""))</f>
        <v/>
      </c>
    </row>
    <row r="9">
      <c r="A9" s="221" t="n"/>
      <c r="B9" s="221" t="n"/>
      <c r="C9" s="221" t="n"/>
      <c r="D9" s="230">
        <f>IF(C9="","",IFERROR(INDEX('ข้อมูลนักเรียน'!$T$9:$T$13,C9),"ไม่พบเลขที่"))</f>
        <v/>
      </c>
      <c r="E9" s="221" t="n"/>
      <c r="F9" s="231" t="n"/>
      <c r="G9" s="223" t="n"/>
      <c r="H9" s="221" t="n"/>
      <c r="I9" s="232">
        <f>IF(OR(C9="",G9=""),"",IF(ISNUMBER(SEARCH(TRIM(G9),INDEX('ผู้รับ-ส่ง'!$Q$9:$Q$13,C9))),"✓ มีสิทธิ์รับ","⚠ ไม่อยู่ในรายชื่อ"))</f>
        <v/>
      </c>
      <c r="J9" s="223" t="n"/>
      <c r="K9" s="223" t="n"/>
      <c r="L9" s="233">
        <f>IF(C9="","",IFERROR(INDEX('ผู้รับ-ส่ง'!$O$9:$O$13,C9)&amp;"",""))</f>
        <v/>
      </c>
    </row>
    <row r="10">
      <c r="A10" s="221" t="n"/>
      <c r="B10" s="221" t="n"/>
      <c r="C10" s="221" t="n"/>
      <c r="D10" s="230">
        <f>IF(C10="","",IFERROR(INDEX('ข้อมูลนักเรียน'!$T$9:$T$13,C10),"ไม่พบเลขที่"))</f>
        <v/>
      </c>
      <c r="E10" s="221" t="n"/>
      <c r="F10" s="231" t="n"/>
      <c r="G10" s="223" t="n"/>
      <c r="H10" s="221" t="n"/>
      <c r="I10" s="232">
        <f>IF(OR(C10="",G10=""),"",IF(ISNUMBER(SEARCH(TRIM(G10),INDEX('ผู้รับ-ส่ง'!$Q$9:$Q$13,C10))),"✓ มีสิทธิ์รับ","⚠ ไม่อยู่ในรายชื่อ"))</f>
        <v/>
      </c>
      <c r="J10" s="223" t="n"/>
      <c r="K10" s="223" t="n"/>
      <c r="L10" s="233">
        <f>IF(C10="","",IFERROR(INDEX('ผู้รับ-ส่ง'!$O$9:$O$13,C10)&amp;"",""))</f>
        <v/>
      </c>
    </row>
    <row r="11">
      <c r="A11" s="221" t="n"/>
      <c r="B11" s="221" t="n"/>
      <c r="C11" s="221" t="n"/>
      <c r="D11" s="230">
        <f>IF(C11="","",IFERROR(INDEX('ข้อมูลนักเรียน'!$T$9:$T$13,C11),"ไม่พบเลขที่"))</f>
        <v/>
      </c>
      <c r="E11" s="221" t="n"/>
      <c r="F11" s="231" t="n"/>
      <c r="G11" s="223" t="n"/>
      <c r="H11" s="221" t="n"/>
      <c r="I11" s="232">
        <f>IF(OR(C11="",G11=""),"",IF(ISNUMBER(SEARCH(TRIM(G11),INDEX('ผู้รับ-ส่ง'!$Q$9:$Q$13,C11))),"✓ มีสิทธิ์รับ","⚠ ไม่อยู่ในรายชื่อ"))</f>
        <v/>
      </c>
      <c r="J11" s="223" t="n"/>
      <c r="K11" s="223" t="n"/>
      <c r="L11" s="233">
        <f>IF(C11="","",IFERROR(INDEX('ผู้รับ-ส่ง'!$O$9:$O$13,C11)&amp;"",""))</f>
        <v/>
      </c>
    </row>
    <row r="12">
      <c r="A12" s="221" t="n"/>
      <c r="B12" s="221" t="n"/>
      <c r="C12" s="221" t="n"/>
      <c r="D12" s="230">
        <f>IF(C12="","",IFERROR(INDEX('ข้อมูลนักเรียน'!$T$9:$T$13,C12),"ไม่พบเลขที่"))</f>
        <v/>
      </c>
      <c r="E12" s="221" t="n"/>
      <c r="F12" s="231" t="n"/>
      <c r="G12" s="223" t="n"/>
      <c r="H12" s="221" t="n"/>
      <c r="I12" s="232">
        <f>IF(OR(C12="",G12=""),"",IF(ISNUMBER(SEARCH(TRIM(G12),INDEX('ผู้รับ-ส่ง'!$Q$9:$Q$13,C12))),"✓ มีสิทธิ์รับ","⚠ ไม่อยู่ในรายชื่อ"))</f>
        <v/>
      </c>
      <c r="J12" s="223" t="n"/>
      <c r="K12" s="223" t="n"/>
      <c r="L12" s="233">
        <f>IF(C12="","",IFERROR(INDEX('ผู้รับ-ส่ง'!$O$9:$O$13,C12)&amp;"",""))</f>
        <v/>
      </c>
    </row>
    <row r="13">
      <c r="A13" s="221" t="n"/>
      <c r="B13" s="221" t="n"/>
      <c r="C13" s="221" t="n"/>
      <c r="D13" s="230">
        <f>IF(C13="","",IFERROR(INDEX('ข้อมูลนักเรียน'!$T$9:$T$13,C13),"ไม่พบเลขที่"))</f>
        <v/>
      </c>
      <c r="E13" s="221" t="n"/>
      <c r="F13" s="231" t="n"/>
      <c r="G13" s="223" t="n"/>
      <c r="H13" s="221" t="n"/>
      <c r="I13" s="232">
        <f>IF(OR(C13="",G13=""),"",IF(ISNUMBER(SEARCH(TRIM(G13),INDEX('ผู้รับ-ส่ง'!$Q$9:$Q$13,C13))),"✓ มีสิทธิ์รับ","⚠ ไม่อยู่ในรายชื่อ"))</f>
        <v/>
      </c>
      <c r="J13" s="223" t="n"/>
      <c r="K13" s="223" t="n"/>
      <c r="L13" s="233">
        <f>IF(C13="","",IFERROR(INDEX('ผู้รับ-ส่ง'!$O$9:$O$13,C13)&amp;"",""))</f>
        <v/>
      </c>
    </row>
    <row r="14">
      <c r="A14" s="221" t="n"/>
      <c r="B14" s="221" t="n"/>
      <c r="C14" s="221" t="n"/>
      <c r="D14" s="230">
        <f>IF(C14="","",IFERROR(INDEX('ข้อมูลนักเรียน'!$T$9:$T$13,C14),"ไม่พบเลขที่"))</f>
        <v/>
      </c>
      <c r="E14" s="221" t="n"/>
      <c r="F14" s="231" t="n"/>
      <c r="G14" s="223" t="n"/>
      <c r="H14" s="221" t="n"/>
      <c r="I14" s="232">
        <f>IF(OR(C14="",G14=""),"",IF(ISNUMBER(SEARCH(TRIM(G14),INDEX('ผู้รับ-ส่ง'!$Q$9:$Q$13,C14))),"✓ มีสิทธิ์รับ","⚠ ไม่อยู่ในรายชื่อ"))</f>
        <v/>
      </c>
      <c r="J14" s="223" t="n"/>
      <c r="K14" s="223" t="n"/>
      <c r="L14" s="233">
        <f>IF(C14="","",IFERROR(INDEX('ผู้รับ-ส่ง'!$O$9:$O$13,C14)&amp;"",""))</f>
        <v/>
      </c>
    </row>
    <row r="15">
      <c r="A15" s="221" t="n"/>
      <c r="B15" s="221" t="n"/>
      <c r="C15" s="221" t="n"/>
      <c r="D15" s="230">
        <f>IF(C15="","",IFERROR(INDEX('ข้อมูลนักเรียน'!$T$9:$T$13,C15),"ไม่พบเลขที่"))</f>
        <v/>
      </c>
      <c r="E15" s="221" t="n"/>
      <c r="F15" s="231" t="n"/>
      <c r="G15" s="223" t="n"/>
      <c r="H15" s="221" t="n"/>
      <c r="I15" s="232">
        <f>IF(OR(C15="",G15=""),"",IF(ISNUMBER(SEARCH(TRIM(G15),INDEX('ผู้รับ-ส่ง'!$Q$9:$Q$13,C15))),"✓ มีสิทธิ์รับ","⚠ ไม่อยู่ในรายชื่อ"))</f>
        <v/>
      </c>
      <c r="J15" s="223" t="n"/>
      <c r="K15" s="223" t="n"/>
      <c r="L15" s="233">
        <f>IF(C15="","",IFERROR(INDEX('ผู้รับ-ส่ง'!$O$9:$O$13,C15)&amp;"",""))</f>
        <v/>
      </c>
    </row>
    <row r="16">
      <c r="A16" s="221" t="n"/>
      <c r="B16" s="221" t="n"/>
      <c r="C16" s="221" t="n"/>
      <c r="D16" s="230">
        <f>IF(C16="","",IFERROR(INDEX('ข้อมูลนักเรียน'!$T$9:$T$13,C16),"ไม่พบเลขที่"))</f>
        <v/>
      </c>
      <c r="E16" s="221" t="n"/>
      <c r="F16" s="231" t="n"/>
      <c r="G16" s="223" t="n"/>
      <c r="H16" s="221" t="n"/>
      <c r="I16" s="232">
        <f>IF(OR(C16="",G16=""),"",IF(ISNUMBER(SEARCH(TRIM(G16),INDEX('ผู้รับ-ส่ง'!$Q$9:$Q$13,C16))),"✓ มีสิทธิ์รับ","⚠ ไม่อยู่ในรายชื่อ"))</f>
        <v/>
      </c>
      <c r="J16" s="223" t="n"/>
      <c r="K16" s="223" t="n"/>
      <c r="L16" s="233">
        <f>IF(C16="","",IFERROR(INDEX('ผู้รับ-ส่ง'!$O$9:$O$13,C16)&amp;"",""))</f>
        <v/>
      </c>
    </row>
    <row r="17">
      <c r="A17" s="221" t="n"/>
      <c r="B17" s="221" t="n"/>
      <c r="C17" s="221" t="n"/>
      <c r="D17" s="230">
        <f>IF(C17="","",IFERROR(INDEX('ข้อมูลนักเรียน'!$T$9:$T$13,C17),"ไม่พบเลขที่"))</f>
        <v/>
      </c>
      <c r="E17" s="221" t="n"/>
      <c r="F17" s="231" t="n"/>
      <c r="G17" s="223" t="n"/>
      <c r="H17" s="221" t="n"/>
      <c r="I17" s="232">
        <f>IF(OR(C17="",G17=""),"",IF(ISNUMBER(SEARCH(TRIM(G17),INDEX('ผู้รับ-ส่ง'!$Q$9:$Q$13,C17))),"✓ มีสิทธิ์รับ","⚠ ไม่อยู่ในรายชื่อ"))</f>
        <v/>
      </c>
      <c r="J17" s="223" t="n"/>
      <c r="K17" s="223" t="n"/>
      <c r="L17" s="233">
        <f>IF(C17="","",IFERROR(INDEX('ผู้รับ-ส่ง'!$O$9:$O$13,C17)&amp;"",""))</f>
        <v/>
      </c>
    </row>
    <row r="18">
      <c r="A18" s="221" t="n"/>
      <c r="B18" s="221" t="n"/>
      <c r="C18" s="221" t="n"/>
      <c r="D18" s="230">
        <f>IF(C18="","",IFERROR(INDEX('ข้อมูลนักเรียน'!$T$9:$T$13,C18),"ไม่พบเลขที่"))</f>
        <v/>
      </c>
      <c r="E18" s="221" t="n"/>
      <c r="F18" s="231" t="n"/>
      <c r="G18" s="223" t="n"/>
      <c r="H18" s="221" t="n"/>
      <c r="I18" s="232">
        <f>IF(OR(C18="",G18=""),"",IF(ISNUMBER(SEARCH(TRIM(G18),INDEX('ผู้รับ-ส่ง'!$Q$9:$Q$13,C18))),"✓ มีสิทธิ์รับ","⚠ ไม่อยู่ในรายชื่อ"))</f>
        <v/>
      </c>
      <c r="J18" s="223" t="n"/>
      <c r="K18" s="223" t="n"/>
      <c r="L18" s="233">
        <f>IF(C18="","",IFERROR(INDEX('ผู้รับ-ส่ง'!$O$9:$O$13,C18)&amp;"",""))</f>
        <v/>
      </c>
    </row>
    <row r="19">
      <c r="A19" s="221" t="n"/>
      <c r="B19" s="221" t="n"/>
      <c r="C19" s="221" t="n"/>
      <c r="D19" s="230">
        <f>IF(C19="","",IFERROR(INDEX('ข้อมูลนักเรียน'!$T$9:$T$13,C19),"ไม่พบเลขที่"))</f>
        <v/>
      </c>
      <c r="E19" s="221" t="n"/>
      <c r="F19" s="231" t="n"/>
      <c r="G19" s="223" t="n"/>
      <c r="H19" s="221" t="n"/>
      <c r="I19" s="232">
        <f>IF(OR(C19="",G19=""),"",IF(ISNUMBER(SEARCH(TRIM(G19),INDEX('ผู้รับ-ส่ง'!$Q$9:$Q$13,C19))),"✓ มีสิทธิ์รับ","⚠ ไม่อยู่ในรายชื่อ"))</f>
        <v/>
      </c>
      <c r="J19" s="223" t="n"/>
      <c r="K19" s="223" t="n"/>
      <c r="L19" s="233">
        <f>IF(C19="","",IFERROR(INDEX('ผู้รับ-ส่ง'!$O$9:$O$13,C19)&amp;"",""))</f>
        <v/>
      </c>
    </row>
    <row r="20">
      <c r="A20" s="221" t="n"/>
      <c r="B20" s="221" t="n"/>
      <c r="C20" s="221" t="n"/>
      <c r="D20" s="230">
        <f>IF(C20="","",IFERROR(INDEX('ข้อมูลนักเรียน'!$T$9:$T$13,C20),"ไม่พบเลขที่"))</f>
        <v/>
      </c>
      <c r="E20" s="221" t="n"/>
      <c r="F20" s="231" t="n"/>
      <c r="G20" s="223" t="n"/>
      <c r="H20" s="221" t="n"/>
      <c r="I20" s="232">
        <f>IF(OR(C20="",G20=""),"",IF(ISNUMBER(SEARCH(TRIM(G20),INDEX('ผู้รับ-ส่ง'!$Q$9:$Q$13,C20))),"✓ มีสิทธิ์รับ","⚠ ไม่อยู่ในรายชื่อ"))</f>
        <v/>
      </c>
      <c r="J20" s="223" t="n"/>
      <c r="K20" s="223" t="n"/>
      <c r="L20" s="233">
        <f>IF(C20="","",IFERROR(INDEX('ผู้รับ-ส่ง'!$O$9:$O$13,C20)&amp;"",""))</f>
        <v/>
      </c>
    </row>
    <row r="21">
      <c r="A21" s="221" t="n"/>
      <c r="B21" s="221" t="n"/>
      <c r="C21" s="221" t="n"/>
      <c r="D21" s="230">
        <f>IF(C21="","",IFERROR(INDEX('ข้อมูลนักเรียน'!$T$9:$T$13,C21),"ไม่พบเลขที่"))</f>
        <v/>
      </c>
      <c r="E21" s="221" t="n"/>
      <c r="F21" s="231" t="n"/>
      <c r="G21" s="223" t="n"/>
      <c r="H21" s="221" t="n"/>
      <c r="I21" s="232">
        <f>IF(OR(C21="",G21=""),"",IF(ISNUMBER(SEARCH(TRIM(G21),INDEX('ผู้รับ-ส่ง'!$Q$9:$Q$13,C21))),"✓ มีสิทธิ์รับ","⚠ ไม่อยู่ในรายชื่อ"))</f>
        <v/>
      </c>
      <c r="J21" s="223" t="n"/>
      <c r="K21" s="223" t="n"/>
      <c r="L21" s="233">
        <f>IF(C21="","",IFERROR(INDEX('ผู้รับ-ส่ง'!$O$9:$O$13,C21)&amp;"",""))</f>
        <v/>
      </c>
    </row>
    <row r="22">
      <c r="A22" s="221" t="n"/>
      <c r="B22" s="221" t="n"/>
      <c r="C22" s="221" t="n"/>
      <c r="D22" s="230">
        <f>IF(C22="","",IFERROR(INDEX('ข้อมูลนักเรียน'!$T$9:$T$13,C22),"ไม่พบเลขที่"))</f>
        <v/>
      </c>
      <c r="E22" s="221" t="n"/>
      <c r="F22" s="231" t="n"/>
      <c r="G22" s="223" t="n"/>
      <c r="H22" s="221" t="n"/>
      <c r="I22" s="232">
        <f>IF(OR(C22="",G22=""),"",IF(ISNUMBER(SEARCH(TRIM(G22),INDEX('ผู้รับ-ส่ง'!$Q$9:$Q$13,C22))),"✓ มีสิทธิ์รับ","⚠ ไม่อยู่ในรายชื่อ"))</f>
        <v/>
      </c>
      <c r="J22" s="223" t="n"/>
      <c r="K22" s="223" t="n"/>
      <c r="L22" s="233">
        <f>IF(C22="","",IFERROR(INDEX('ผู้รับ-ส่ง'!$O$9:$O$13,C22)&amp;"",""))</f>
        <v/>
      </c>
    </row>
    <row r="23">
      <c r="A23" s="221" t="n"/>
      <c r="B23" s="221" t="n"/>
      <c r="C23" s="221" t="n"/>
      <c r="D23" s="230">
        <f>IF(C23="","",IFERROR(INDEX('ข้อมูลนักเรียน'!$T$9:$T$13,C23),"ไม่พบเลขที่"))</f>
        <v/>
      </c>
      <c r="E23" s="221" t="n"/>
      <c r="F23" s="231" t="n"/>
      <c r="G23" s="223" t="n"/>
      <c r="H23" s="221" t="n"/>
      <c r="I23" s="232">
        <f>IF(OR(C23="",G23=""),"",IF(ISNUMBER(SEARCH(TRIM(G23),INDEX('ผู้รับ-ส่ง'!$Q$9:$Q$13,C23))),"✓ มีสิทธิ์รับ","⚠ ไม่อยู่ในรายชื่อ"))</f>
        <v/>
      </c>
      <c r="J23" s="223" t="n"/>
      <c r="K23" s="223" t="n"/>
      <c r="L23" s="233">
        <f>IF(C23="","",IFERROR(INDEX('ผู้รับ-ส่ง'!$O$9:$O$13,C23)&amp;"",""))</f>
        <v/>
      </c>
    </row>
    <row r="24">
      <c r="A24" s="221" t="n"/>
      <c r="B24" s="221" t="n"/>
      <c r="C24" s="221" t="n"/>
      <c r="D24" s="230">
        <f>IF(C24="","",IFERROR(INDEX('ข้อมูลนักเรียน'!$T$9:$T$13,C24),"ไม่พบเลขที่"))</f>
        <v/>
      </c>
      <c r="E24" s="221" t="n"/>
      <c r="F24" s="231" t="n"/>
      <c r="G24" s="223" t="n"/>
      <c r="H24" s="221" t="n"/>
      <c r="I24" s="232">
        <f>IF(OR(C24="",G24=""),"",IF(ISNUMBER(SEARCH(TRIM(G24),INDEX('ผู้รับ-ส่ง'!$Q$9:$Q$13,C24))),"✓ มีสิทธิ์รับ","⚠ ไม่อยู่ในรายชื่อ"))</f>
        <v/>
      </c>
      <c r="J24" s="223" t="n"/>
      <c r="K24" s="223" t="n"/>
      <c r="L24" s="233">
        <f>IF(C24="","",IFERROR(INDEX('ผู้รับ-ส่ง'!$O$9:$O$13,C24)&amp;"",""))</f>
        <v/>
      </c>
    </row>
    <row r="25">
      <c r="A25" s="221" t="n"/>
      <c r="B25" s="221" t="n"/>
      <c r="C25" s="221" t="n"/>
      <c r="D25" s="230">
        <f>IF(C25="","",IFERROR(INDEX('ข้อมูลนักเรียน'!$T$9:$T$13,C25),"ไม่พบเลขที่"))</f>
        <v/>
      </c>
      <c r="E25" s="221" t="n"/>
      <c r="F25" s="231" t="n"/>
      <c r="G25" s="223" t="n"/>
      <c r="H25" s="221" t="n"/>
      <c r="I25" s="232">
        <f>IF(OR(C25="",G25=""),"",IF(ISNUMBER(SEARCH(TRIM(G25),INDEX('ผู้รับ-ส่ง'!$Q$9:$Q$13,C25))),"✓ มีสิทธิ์รับ","⚠ ไม่อยู่ในรายชื่อ"))</f>
        <v/>
      </c>
      <c r="J25" s="223" t="n"/>
      <c r="K25" s="223" t="n"/>
      <c r="L25" s="233">
        <f>IF(C25="","",IFERROR(INDEX('ผู้รับ-ส่ง'!$O$9:$O$13,C25)&amp;"",""))</f>
        <v/>
      </c>
    </row>
    <row r="26">
      <c r="A26" s="221" t="n"/>
      <c r="B26" s="221" t="n"/>
      <c r="C26" s="221" t="n"/>
      <c r="D26" s="230">
        <f>IF(C26="","",IFERROR(INDEX('ข้อมูลนักเรียน'!$T$9:$T$13,C26),"ไม่พบเลขที่"))</f>
        <v/>
      </c>
      <c r="E26" s="221" t="n"/>
      <c r="F26" s="231" t="n"/>
      <c r="G26" s="223" t="n"/>
      <c r="H26" s="221" t="n"/>
      <c r="I26" s="232">
        <f>IF(OR(C26="",G26=""),"",IF(ISNUMBER(SEARCH(TRIM(G26),INDEX('ผู้รับ-ส่ง'!$Q$9:$Q$13,C26))),"✓ มีสิทธิ์รับ","⚠ ไม่อยู่ในรายชื่อ"))</f>
        <v/>
      </c>
      <c r="J26" s="223" t="n"/>
      <c r="K26" s="223" t="n"/>
      <c r="L26" s="233">
        <f>IF(C26="","",IFERROR(INDEX('ผู้รับ-ส่ง'!$O$9:$O$13,C26)&amp;"",""))</f>
        <v/>
      </c>
    </row>
    <row r="27">
      <c r="A27" s="221" t="n"/>
      <c r="B27" s="221" t="n"/>
      <c r="C27" s="221" t="n"/>
      <c r="D27" s="230">
        <f>IF(C27="","",IFERROR(INDEX('ข้อมูลนักเรียน'!$T$9:$T$13,C27),"ไม่พบเลขที่"))</f>
        <v/>
      </c>
      <c r="E27" s="221" t="n"/>
      <c r="F27" s="231" t="n"/>
      <c r="G27" s="223" t="n"/>
      <c r="H27" s="221" t="n"/>
      <c r="I27" s="232">
        <f>IF(OR(C27="",G27=""),"",IF(ISNUMBER(SEARCH(TRIM(G27),INDEX('ผู้รับ-ส่ง'!$Q$9:$Q$13,C27))),"✓ มีสิทธิ์รับ","⚠ ไม่อยู่ในรายชื่อ"))</f>
        <v/>
      </c>
      <c r="J27" s="223" t="n"/>
      <c r="K27" s="223" t="n"/>
      <c r="L27" s="233">
        <f>IF(C27="","",IFERROR(INDEX('ผู้รับ-ส่ง'!$O$9:$O$13,C27)&amp;"",""))</f>
        <v/>
      </c>
    </row>
    <row r="28">
      <c r="A28" s="221" t="n"/>
      <c r="B28" s="221" t="n"/>
      <c r="C28" s="221" t="n"/>
      <c r="D28" s="230">
        <f>IF(C28="","",IFERROR(INDEX('ข้อมูลนักเรียน'!$T$9:$T$13,C28),"ไม่พบเลขที่"))</f>
        <v/>
      </c>
      <c r="E28" s="221" t="n"/>
      <c r="F28" s="231" t="n"/>
      <c r="G28" s="223" t="n"/>
      <c r="H28" s="221" t="n"/>
      <c r="I28" s="232">
        <f>IF(OR(C28="",G28=""),"",IF(ISNUMBER(SEARCH(TRIM(G28),INDEX('ผู้รับ-ส่ง'!$Q$9:$Q$13,C28))),"✓ มีสิทธิ์รับ","⚠ ไม่อยู่ในรายชื่อ"))</f>
        <v/>
      </c>
      <c r="J28" s="223" t="n"/>
      <c r="K28" s="223" t="n"/>
      <c r="L28" s="233">
        <f>IF(C28="","",IFERROR(INDEX('ผู้รับ-ส่ง'!$O$9:$O$13,C28)&amp;"",""))</f>
        <v/>
      </c>
    </row>
    <row r="29">
      <c r="A29" s="221" t="n"/>
      <c r="B29" s="221" t="n"/>
      <c r="C29" s="221" t="n"/>
      <c r="D29" s="230">
        <f>IF(C29="","",IFERROR(INDEX('ข้อมูลนักเรียน'!$T$9:$T$13,C29),"ไม่พบเลขที่"))</f>
        <v/>
      </c>
      <c r="E29" s="221" t="n"/>
      <c r="F29" s="231" t="n"/>
      <c r="G29" s="223" t="n"/>
      <c r="H29" s="221" t="n"/>
      <c r="I29" s="232">
        <f>IF(OR(C29="",G29=""),"",IF(ISNUMBER(SEARCH(TRIM(G29),INDEX('ผู้รับ-ส่ง'!$Q$9:$Q$13,C29))),"✓ มีสิทธิ์รับ","⚠ ไม่อยู่ในรายชื่อ"))</f>
        <v/>
      </c>
      <c r="J29" s="223" t="n"/>
      <c r="K29" s="223" t="n"/>
      <c r="L29" s="233">
        <f>IF(C29="","",IFERROR(INDEX('ผู้รับ-ส่ง'!$O$9:$O$13,C29)&amp;"",""))</f>
        <v/>
      </c>
    </row>
    <row r="30">
      <c r="A30" s="221" t="n"/>
      <c r="B30" s="221" t="n"/>
      <c r="C30" s="221" t="n"/>
      <c r="D30" s="230">
        <f>IF(C30="","",IFERROR(INDEX('ข้อมูลนักเรียน'!$T$9:$T$13,C30),"ไม่พบเลขที่"))</f>
        <v/>
      </c>
      <c r="E30" s="221" t="n"/>
      <c r="F30" s="231" t="n"/>
      <c r="G30" s="223" t="n"/>
      <c r="H30" s="221" t="n"/>
      <c r="I30" s="232">
        <f>IF(OR(C30="",G30=""),"",IF(ISNUMBER(SEARCH(TRIM(G30),INDEX('ผู้รับ-ส่ง'!$Q$9:$Q$13,C30))),"✓ มีสิทธิ์รับ","⚠ ไม่อยู่ในรายชื่อ"))</f>
        <v/>
      </c>
      <c r="J30" s="223" t="n"/>
      <c r="K30" s="223" t="n"/>
      <c r="L30" s="233">
        <f>IF(C30="","",IFERROR(INDEX('ผู้รับ-ส่ง'!$O$9:$O$13,C30)&amp;"",""))</f>
        <v/>
      </c>
    </row>
    <row r="31">
      <c r="A31" s="221" t="n"/>
      <c r="B31" s="221" t="n"/>
      <c r="C31" s="221" t="n"/>
      <c r="D31" s="230">
        <f>IF(C31="","",IFERROR(INDEX('ข้อมูลนักเรียน'!$T$9:$T$13,C31),"ไม่พบเลขที่"))</f>
        <v/>
      </c>
      <c r="E31" s="221" t="n"/>
      <c r="F31" s="231" t="n"/>
      <c r="G31" s="223" t="n"/>
      <c r="H31" s="221" t="n"/>
      <c r="I31" s="232">
        <f>IF(OR(C31="",G31=""),"",IF(ISNUMBER(SEARCH(TRIM(G31),INDEX('ผู้รับ-ส่ง'!$Q$9:$Q$13,C31))),"✓ มีสิทธิ์รับ","⚠ ไม่อยู่ในรายชื่อ"))</f>
        <v/>
      </c>
      <c r="J31" s="223" t="n"/>
      <c r="K31" s="223" t="n"/>
      <c r="L31" s="233">
        <f>IF(C31="","",IFERROR(INDEX('ผู้รับ-ส่ง'!$O$9:$O$13,C31)&amp;"",""))</f>
        <v/>
      </c>
    </row>
    <row r="32">
      <c r="A32" s="221" t="n"/>
      <c r="B32" s="221" t="n"/>
      <c r="C32" s="221" t="n"/>
      <c r="D32" s="230">
        <f>IF(C32="","",IFERROR(INDEX('ข้อมูลนักเรียน'!$T$9:$T$13,C32),"ไม่พบเลขที่"))</f>
        <v/>
      </c>
      <c r="E32" s="221" t="n"/>
      <c r="F32" s="231" t="n"/>
      <c r="G32" s="223" t="n"/>
      <c r="H32" s="221" t="n"/>
      <c r="I32" s="232">
        <f>IF(OR(C32="",G32=""),"",IF(ISNUMBER(SEARCH(TRIM(G32),INDEX('ผู้รับ-ส่ง'!$Q$9:$Q$13,C32))),"✓ มีสิทธิ์รับ","⚠ ไม่อยู่ในรายชื่อ"))</f>
        <v/>
      </c>
      <c r="J32" s="223" t="n"/>
      <c r="K32" s="223" t="n"/>
      <c r="L32" s="233">
        <f>IF(C32="","",IFERROR(INDEX('ผู้รับ-ส่ง'!$O$9:$O$13,C32)&amp;"",""))</f>
        <v/>
      </c>
    </row>
    <row r="33">
      <c r="A33" s="221" t="n"/>
      <c r="B33" s="221" t="n"/>
      <c r="C33" s="221" t="n"/>
      <c r="D33" s="230">
        <f>IF(C33="","",IFERROR(INDEX('ข้อมูลนักเรียน'!$T$9:$T$13,C33),"ไม่พบเลขที่"))</f>
        <v/>
      </c>
      <c r="E33" s="221" t="n"/>
      <c r="F33" s="231" t="n"/>
      <c r="G33" s="223" t="n"/>
      <c r="H33" s="221" t="n"/>
      <c r="I33" s="232">
        <f>IF(OR(C33="",G33=""),"",IF(ISNUMBER(SEARCH(TRIM(G33),INDEX('ผู้รับ-ส่ง'!$Q$9:$Q$13,C33))),"✓ มีสิทธิ์รับ","⚠ ไม่อยู่ในรายชื่อ"))</f>
        <v/>
      </c>
      <c r="J33" s="223" t="n"/>
      <c r="K33" s="223" t="n"/>
      <c r="L33" s="233">
        <f>IF(C33="","",IFERROR(INDEX('ผู้รับ-ส่ง'!$O$9:$O$13,C33)&amp;"",""))</f>
        <v/>
      </c>
    </row>
    <row r="34">
      <c r="A34" s="221" t="n"/>
      <c r="B34" s="221" t="n"/>
      <c r="C34" s="221" t="n"/>
      <c r="D34" s="230">
        <f>IF(C34="","",IFERROR(INDEX('ข้อมูลนักเรียน'!$T$9:$T$13,C34),"ไม่พบเลขที่"))</f>
        <v/>
      </c>
      <c r="E34" s="221" t="n"/>
      <c r="F34" s="231" t="n"/>
      <c r="G34" s="223" t="n"/>
      <c r="H34" s="221" t="n"/>
      <c r="I34" s="232">
        <f>IF(OR(C34="",G34=""),"",IF(ISNUMBER(SEARCH(TRIM(G34),INDEX('ผู้รับ-ส่ง'!$Q$9:$Q$13,C34))),"✓ มีสิทธิ์รับ","⚠ ไม่อยู่ในรายชื่อ"))</f>
        <v/>
      </c>
      <c r="J34" s="223" t="n"/>
      <c r="K34" s="223" t="n"/>
      <c r="L34" s="233">
        <f>IF(C34="","",IFERROR(INDEX('ผู้รับ-ส่ง'!$O$9:$O$13,C34)&amp;"",""))</f>
        <v/>
      </c>
    </row>
    <row r="35">
      <c r="A35" s="221" t="n"/>
      <c r="B35" s="221" t="n"/>
      <c r="C35" s="221" t="n"/>
      <c r="D35" s="230">
        <f>IF(C35="","",IFERROR(INDEX('ข้อมูลนักเรียน'!$T$9:$T$13,C35),"ไม่พบเลขที่"))</f>
        <v/>
      </c>
      <c r="E35" s="221" t="n"/>
      <c r="F35" s="231" t="n"/>
      <c r="G35" s="223" t="n"/>
      <c r="H35" s="221" t="n"/>
      <c r="I35" s="232">
        <f>IF(OR(C35="",G35=""),"",IF(ISNUMBER(SEARCH(TRIM(G35),INDEX('ผู้รับ-ส่ง'!$Q$9:$Q$13,C35))),"✓ มีสิทธิ์รับ","⚠ ไม่อยู่ในรายชื่อ"))</f>
        <v/>
      </c>
      <c r="J35" s="223" t="n"/>
      <c r="K35" s="223" t="n"/>
      <c r="L35" s="233">
        <f>IF(C35="","",IFERROR(INDEX('ผู้รับ-ส่ง'!$O$9:$O$13,C35)&amp;"",""))</f>
        <v/>
      </c>
    </row>
    <row r="36">
      <c r="A36" s="221" t="n"/>
      <c r="B36" s="221" t="n"/>
      <c r="C36" s="221" t="n"/>
      <c r="D36" s="230">
        <f>IF(C36="","",IFERROR(INDEX('ข้อมูลนักเรียน'!$T$9:$T$13,C36),"ไม่พบเลขที่"))</f>
        <v/>
      </c>
      <c r="E36" s="221" t="n"/>
      <c r="F36" s="231" t="n"/>
      <c r="G36" s="223" t="n"/>
      <c r="H36" s="221" t="n"/>
      <c r="I36" s="232">
        <f>IF(OR(C36="",G36=""),"",IF(ISNUMBER(SEARCH(TRIM(G36),INDEX('ผู้รับ-ส่ง'!$Q$9:$Q$13,C36))),"✓ มีสิทธิ์รับ","⚠ ไม่อยู่ในรายชื่อ"))</f>
        <v/>
      </c>
      <c r="J36" s="223" t="n"/>
      <c r="K36" s="223" t="n"/>
      <c r="L36" s="233">
        <f>IF(C36="","",IFERROR(INDEX('ผู้รับ-ส่ง'!$O$9:$O$13,C36)&amp;"",""))</f>
        <v/>
      </c>
    </row>
    <row r="37">
      <c r="A37" s="221" t="n"/>
      <c r="B37" s="221" t="n"/>
      <c r="C37" s="221" t="n"/>
      <c r="D37" s="230">
        <f>IF(C37="","",IFERROR(INDEX('ข้อมูลนักเรียน'!$T$9:$T$13,C37),"ไม่พบเลขที่"))</f>
        <v/>
      </c>
      <c r="E37" s="221" t="n"/>
      <c r="F37" s="231" t="n"/>
      <c r="G37" s="223" t="n"/>
      <c r="H37" s="221" t="n"/>
      <c r="I37" s="232">
        <f>IF(OR(C37="",G37=""),"",IF(ISNUMBER(SEARCH(TRIM(G37),INDEX('ผู้รับ-ส่ง'!$Q$9:$Q$13,C37))),"✓ มีสิทธิ์รับ","⚠ ไม่อยู่ในรายชื่อ"))</f>
        <v/>
      </c>
      <c r="J37" s="223" t="n"/>
      <c r="K37" s="223" t="n"/>
      <c r="L37" s="233">
        <f>IF(C37="","",IFERROR(INDEX('ผู้รับ-ส่ง'!$O$9:$O$13,C37)&amp;"",""))</f>
        <v/>
      </c>
    </row>
    <row r="38">
      <c r="A38" s="221" t="n"/>
      <c r="B38" s="221" t="n"/>
      <c r="C38" s="221" t="n"/>
      <c r="D38" s="230">
        <f>IF(C38="","",IFERROR(INDEX('ข้อมูลนักเรียน'!$T$9:$T$13,C38),"ไม่พบเลขที่"))</f>
        <v/>
      </c>
      <c r="E38" s="221" t="n"/>
      <c r="F38" s="231" t="n"/>
      <c r="G38" s="223" t="n"/>
      <c r="H38" s="221" t="n"/>
      <c r="I38" s="232">
        <f>IF(OR(C38="",G38=""),"",IF(ISNUMBER(SEARCH(TRIM(G38),INDEX('ผู้รับ-ส่ง'!$Q$9:$Q$13,C38))),"✓ มีสิทธิ์รับ","⚠ ไม่อยู่ในรายชื่อ"))</f>
        <v/>
      </c>
      <c r="J38" s="223" t="n"/>
      <c r="K38" s="223" t="n"/>
      <c r="L38" s="233">
        <f>IF(C38="","",IFERROR(INDEX('ผู้รับ-ส่ง'!$O$9:$O$13,C38)&amp;"",""))</f>
        <v/>
      </c>
    </row>
    <row r="39">
      <c r="A39" s="221" t="n"/>
      <c r="B39" s="221" t="n"/>
      <c r="C39" s="221" t="n"/>
      <c r="D39" s="230">
        <f>IF(C39="","",IFERROR(INDEX('ข้อมูลนักเรียน'!$T$9:$T$13,C39),"ไม่พบเลขที่"))</f>
        <v/>
      </c>
      <c r="E39" s="221" t="n"/>
      <c r="F39" s="231" t="n"/>
      <c r="G39" s="223" t="n"/>
      <c r="H39" s="221" t="n"/>
      <c r="I39" s="232">
        <f>IF(OR(C39="",G39=""),"",IF(ISNUMBER(SEARCH(TRIM(G39),INDEX('ผู้รับ-ส่ง'!$Q$9:$Q$13,C39))),"✓ มีสิทธิ์รับ","⚠ ไม่อยู่ในรายชื่อ"))</f>
        <v/>
      </c>
      <c r="J39" s="223" t="n"/>
      <c r="K39" s="223" t="n"/>
      <c r="L39" s="233">
        <f>IF(C39="","",IFERROR(INDEX('ผู้รับ-ส่ง'!$O$9:$O$13,C39)&amp;"",""))</f>
        <v/>
      </c>
    </row>
    <row r="40">
      <c r="A40" s="221" t="n"/>
      <c r="B40" s="221" t="n"/>
      <c r="C40" s="221" t="n"/>
      <c r="D40" s="230">
        <f>IF(C40="","",IFERROR(INDEX('ข้อมูลนักเรียน'!$T$9:$T$13,C40),"ไม่พบเลขที่"))</f>
        <v/>
      </c>
      <c r="E40" s="221" t="n"/>
      <c r="F40" s="231" t="n"/>
      <c r="G40" s="223" t="n"/>
      <c r="H40" s="221" t="n"/>
      <c r="I40" s="232">
        <f>IF(OR(C40="",G40=""),"",IF(ISNUMBER(SEARCH(TRIM(G40),INDEX('ผู้รับ-ส่ง'!$Q$9:$Q$13,C40))),"✓ มีสิทธิ์รับ","⚠ ไม่อยู่ในรายชื่อ"))</f>
        <v/>
      </c>
      <c r="J40" s="223" t="n"/>
      <c r="K40" s="223" t="n"/>
      <c r="L40" s="233">
        <f>IF(C40="","",IFERROR(INDEX('ผู้รับ-ส่ง'!$O$9:$O$13,C40)&amp;"",""))</f>
        <v/>
      </c>
    </row>
    <row r="41">
      <c r="A41" s="221" t="n"/>
      <c r="B41" s="221" t="n"/>
      <c r="C41" s="221" t="n"/>
      <c r="D41" s="230">
        <f>IF(C41="","",IFERROR(INDEX('ข้อมูลนักเรียน'!$T$9:$T$13,C41),"ไม่พบเลขที่"))</f>
        <v/>
      </c>
      <c r="E41" s="221" t="n"/>
      <c r="F41" s="231" t="n"/>
      <c r="G41" s="223" t="n"/>
      <c r="H41" s="221" t="n"/>
      <c r="I41" s="232">
        <f>IF(OR(C41="",G41=""),"",IF(ISNUMBER(SEARCH(TRIM(G41),INDEX('ผู้รับ-ส่ง'!$Q$9:$Q$13,C41))),"✓ มีสิทธิ์รับ","⚠ ไม่อยู่ในรายชื่อ"))</f>
        <v/>
      </c>
      <c r="J41" s="223" t="n"/>
      <c r="K41" s="223" t="n"/>
      <c r="L41" s="233">
        <f>IF(C41="","",IFERROR(INDEX('ผู้รับ-ส่ง'!$O$9:$O$13,C41)&amp;"",""))</f>
        <v/>
      </c>
    </row>
    <row r="42">
      <c r="A42" s="221" t="n"/>
      <c r="B42" s="221" t="n"/>
      <c r="C42" s="221" t="n"/>
      <c r="D42" s="230">
        <f>IF(C42="","",IFERROR(INDEX('ข้อมูลนักเรียน'!$T$9:$T$13,C42),"ไม่พบเลขที่"))</f>
        <v/>
      </c>
      <c r="E42" s="221" t="n"/>
      <c r="F42" s="231" t="n"/>
      <c r="G42" s="223" t="n"/>
      <c r="H42" s="221" t="n"/>
      <c r="I42" s="232">
        <f>IF(OR(C42="",G42=""),"",IF(ISNUMBER(SEARCH(TRIM(G42),INDEX('ผู้รับ-ส่ง'!$Q$9:$Q$13,C42))),"✓ มีสิทธิ์รับ","⚠ ไม่อยู่ในรายชื่อ"))</f>
        <v/>
      </c>
      <c r="J42" s="223" t="n"/>
      <c r="K42" s="223" t="n"/>
      <c r="L42" s="233">
        <f>IF(C42="","",IFERROR(INDEX('ผู้รับ-ส่ง'!$O$9:$O$13,C42)&amp;"",""))</f>
        <v/>
      </c>
    </row>
    <row r="43">
      <c r="A43" s="221" t="n"/>
      <c r="B43" s="221" t="n"/>
      <c r="C43" s="221" t="n"/>
      <c r="D43" s="230">
        <f>IF(C43="","",IFERROR(INDEX('ข้อมูลนักเรียน'!$T$9:$T$13,C43),"ไม่พบเลขที่"))</f>
        <v/>
      </c>
      <c r="E43" s="221" t="n"/>
      <c r="F43" s="231" t="n"/>
      <c r="G43" s="223" t="n"/>
      <c r="H43" s="221" t="n"/>
      <c r="I43" s="232">
        <f>IF(OR(C43="",G43=""),"",IF(ISNUMBER(SEARCH(TRIM(G43),INDEX('ผู้รับ-ส่ง'!$Q$9:$Q$13,C43))),"✓ มีสิทธิ์รับ","⚠ ไม่อยู่ในรายชื่อ"))</f>
        <v/>
      </c>
      <c r="J43" s="223" t="n"/>
      <c r="K43" s="223" t="n"/>
      <c r="L43" s="233">
        <f>IF(C43="","",IFERROR(INDEX('ผู้รับ-ส่ง'!$O$9:$O$13,C43)&amp;"",""))</f>
        <v/>
      </c>
    </row>
    <row r="44">
      <c r="A44" s="221" t="n"/>
      <c r="B44" s="221" t="n"/>
      <c r="C44" s="221" t="n"/>
      <c r="D44" s="230">
        <f>IF(C44="","",IFERROR(INDEX('ข้อมูลนักเรียน'!$T$9:$T$13,C44),"ไม่พบเลขที่"))</f>
        <v/>
      </c>
      <c r="E44" s="221" t="n"/>
      <c r="F44" s="231" t="n"/>
      <c r="G44" s="223" t="n"/>
      <c r="H44" s="221" t="n"/>
      <c r="I44" s="232">
        <f>IF(OR(C44="",G44=""),"",IF(ISNUMBER(SEARCH(TRIM(G44),INDEX('ผู้รับ-ส่ง'!$Q$9:$Q$13,C44))),"✓ มีสิทธิ์รับ","⚠ ไม่อยู่ในรายชื่อ"))</f>
        <v/>
      </c>
      <c r="J44" s="223" t="n"/>
      <c r="K44" s="223" t="n"/>
      <c r="L44" s="233">
        <f>IF(C44="","",IFERROR(INDEX('ผู้รับ-ส่ง'!$O$9:$O$13,C44)&amp;"",""))</f>
        <v/>
      </c>
    </row>
    <row r="45">
      <c r="A45" s="221" t="n"/>
      <c r="B45" s="221" t="n"/>
      <c r="C45" s="221" t="n"/>
      <c r="D45" s="230">
        <f>IF(C45="","",IFERROR(INDEX('ข้อมูลนักเรียน'!$T$9:$T$13,C45),"ไม่พบเลขที่"))</f>
        <v/>
      </c>
      <c r="E45" s="221" t="n"/>
      <c r="F45" s="231" t="n"/>
      <c r="G45" s="223" t="n"/>
      <c r="H45" s="221" t="n"/>
      <c r="I45" s="232">
        <f>IF(OR(C45="",G45=""),"",IF(ISNUMBER(SEARCH(TRIM(G45),INDEX('ผู้รับ-ส่ง'!$Q$9:$Q$13,C45))),"✓ มีสิทธิ์รับ","⚠ ไม่อยู่ในรายชื่อ"))</f>
        <v/>
      </c>
      <c r="J45" s="223" t="n"/>
      <c r="K45" s="223" t="n"/>
      <c r="L45" s="233">
        <f>IF(C45="","",IFERROR(INDEX('ผู้รับ-ส่ง'!$O$9:$O$13,C45)&amp;"",""))</f>
        <v/>
      </c>
    </row>
    <row r="46">
      <c r="A46" s="221" t="n"/>
      <c r="B46" s="221" t="n"/>
      <c r="C46" s="221" t="n"/>
      <c r="D46" s="230">
        <f>IF(C46="","",IFERROR(INDEX('ข้อมูลนักเรียน'!$T$9:$T$13,C46),"ไม่พบเลขที่"))</f>
        <v/>
      </c>
      <c r="E46" s="221" t="n"/>
      <c r="F46" s="231" t="n"/>
      <c r="G46" s="223" t="n"/>
      <c r="H46" s="221" t="n"/>
      <c r="I46" s="232">
        <f>IF(OR(C46="",G46=""),"",IF(ISNUMBER(SEARCH(TRIM(G46),INDEX('ผู้รับ-ส่ง'!$Q$9:$Q$13,C46))),"✓ มีสิทธิ์รับ","⚠ ไม่อยู่ในรายชื่อ"))</f>
        <v/>
      </c>
      <c r="J46" s="223" t="n"/>
      <c r="K46" s="223" t="n"/>
      <c r="L46" s="233">
        <f>IF(C46="","",IFERROR(INDEX('ผู้รับ-ส่ง'!$O$9:$O$13,C46)&amp;"",""))</f>
        <v/>
      </c>
    </row>
    <row r="47">
      <c r="A47" s="221" t="n"/>
      <c r="B47" s="221" t="n"/>
      <c r="C47" s="221" t="n"/>
      <c r="D47" s="230">
        <f>IF(C47="","",IFERROR(INDEX('ข้อมูลนักเรียน'!$T$9:$T$13,C47),"ไม่พบเลขที่"))</f>
        <v/>
      </c>
      <c r="E47" s="221" t="n"/>
      <c r="F47" s="231" t="n"/>
      <c r="G47" s="223" t="n"/>
      <c r="H47" s="221" t="n"/>
      <c r="I47" s="232">
        <f>IF(OR(C47="",G47=""),"",IF(ISNUMBER(SEARCH(TRIM(G47),INDEX('ผู้รับ-ส่ง'!$Q$9:$Q$13,C47))),"✓ มีสิทธิ์รับ","⚠ ไม่อยู่ในรายชื่อ"))</f>
        <v/>
      </c>
      <c r="J47" s="223" t="n"/>
      <c r="K47" s="223" t="n"/>
      <c r="L47" s="233">
        <f>IF(C47="","",IFERROR(INDEX('ผู้รับ-ส่ง'!$O$9:$O$13,C47)&amp;"",""))</f>
        <v/>
      </c>
    </row>
    <row r="48">
      <c r="A48" s="221" t="n"/>
      <c r="B48" s="221" t="n"/>
      <c r="C48" s="221" t="n"/>
      <c r="D48" s="230">
        <f>IF(C48="","",IFERROR(INDEX('ข้อมูลนักเรียน'!$T$9:$T$13,C48),"ไม่พบเลขที่"))</f>
        <v/>
      </c>
      <c r="E48" s="221" t="n"/>
      <c r="F48" s="231" t="n"/>
      <c r="G48" s="223" t="n"/>
      <c r="H48" s="221" t="n"/>
      <c r="I48" s="232">
        <f>IF(OR(C48="",G48=""),"",IF(ISNUMBER(SEARCH(TRIM(G48),INDEX('ผู้รับ-ส่ง'!$Q$9:$Q$13,C48))),"✓ มีสิทธิ์รับ","⚠ ไม่อยู่ในรายชื่อ"))</f>
        <v/>
      </c>
      <c r="J48" s="223" t="n"/>
      <c r="K48" s="223" t="n"/>
      <c r="L48" s="233">
        <f>IF(C48="","",IFERROR(INDEX('ผู้รับ-ส่ง'!$O$9:$O$13,C48)&amp;"",""))</f>
        <v/>
      </c>
    </row>
    <row r="49">
      <c r="A49" s="221" t="n"/>
      <c r="B49" s="221" t="n"/>
      <c r="C49" s="221" t="n"/>
      <c r="D49" s="230">
        <f>IF(C49="","",IFERROR(INDEX('ข้อมูลนักเรียน'!$T$9:$T$13,C49),"ไม่พบเลขที่"))</f>
        <v/>
      </c>
      <c r="E49" s="221" t="n"/>
      <c r="F49" s="231" t="n"/>
      <c r="G49" s="223" t="n"/>
      <c r="H49" s="221" t="n"/>
      <c r="I49" s="232">
        <f>IF(OR(C49="",G49=""),"",IF(ISNUMBER(SEARCH(TRIM(G49),INDEX('ผู้รับ-ส่ง'!$Q$9:$Q$13,C49))),"✓ มีสิทธิ์รับ","⚠ ไม่อยู่ในรายชื่อ"))</f>
        <v/>
      </c>
      <c r="J49" s="223" t="n"/>
      <c r="K49" s="223" t="n"/>
      <c r="L49" s="233">
        <f>IF(C49="","",IFERROR(INDEX('ผู้รับ-ส่ง'!$O$9:$O$13,C49)&amp;"",""))</f>
        <v/>
      </c>
    </row>
    <row r="50">
      <c r="A50" s="221" t="n"/>
      <c r="B50" s="221" t="n"/>
      <c r="C50" s="221" t="n"/>
      <c r="D50" s="230">
        <f>IF(C50="","",IFERROR(INDEX('ข้อมูลนักเรียน'!$T$9:$T$13,C50),"ไม่พบเลขที่"))</f>
        <v/>
      </c>
      <c r="E50" s="221" t="n"/>
      <c r="F50" s="231" t="n"/>
      <c r="G50" s="223" t="n"/>
      <c r="H50" s="221" t="n"/>
      <c r="I50" s="232">
        <f>IF(OR(C50="",G50=""),"",IF(ISNUMBER(SEARCH(TRIM(G50),INDEX('ผู้รับ-ส่ง'!$Q$9:$Q$13,C50))),"✓ มีสิทธิ์รับ","⚠ ไม่อยู่ในรายชื่อ"))</f>
        <v/>
      </c>
      <c r="J50" s="223" t="n"/>
      <c r="K50" s="223" t="n"/>
      <c r="L50" s="233">
        <f>IF(C50="","",IFERROR(INDEX('ผู้รับ-ส่ง'!$O$9:$O$13,C50)&amp;"",""))</f>
        <v/>
      </c>
    </row>
    <row r="51">
      <c r="A51" s="221" t="n"/>
      <c r="B51" s="221" t="n"/>
      <c r="C51" s="221" t="n"/>
      <c r="D51" s="230">
        <f>IF(C51="","",IFERROR(INDEX('ข้อมูลนักเรียน'!$T$9:$T$13,C51),"ไม่พบเลขที่"))</f>
        <v/>
      </c>
      <c r="E51" s="221" t="n"/>
      <c r="F51" s="231" t="n"/>
      <c r="G51" s="223" t="n"/>
      <c r="H51" s="221" t="n"/>
      <c r="I51" s="232">
        <f>IF(OR(C51="",G51=""),"",IF(ISNUMBER(SEARCH(TRIM(G51),INDEX('ผู้รับ-ส่ง'!$Q$9:$Q$13,C51))),"✓ มีสิทธิ์รับ","⚠ ไม่อยู่ในรายชื่อ"))</f>
        <v/>
      </c>
      <c r="J51" s="223" t="n"/>
      <c r="K51" s="223" t="n"/>
      <c r="L51" s="233">
        <f>IF(C51="","",IFERROR(INDEX('ผู้รับ-ส่ง'!$O$9:$O$13,C51)&amp;"",""))</f>
        <v/>
      </c>
    </row>
    <row r="52">
      <c r="A52" s="221" t="n"/>
      <c r="B52" s="221" t="n"/>
      <c r="C52" s="221" t="n"/>
      <c r="D52" s="230">
        <f>IF(C52="","",IFERROR(INDEX('ข้อมูลนักเรียน'!$T$9:$T$13,C52),"ไม่พบเลขที่"))</f>
        <v/>
      </c>
      <c r="E52" s="221" t="n"/>
      <c r="F52" s="231" t="n"/>
      <c r="G52" s="223" t="n"/>
      <c r="H52" s="221" t="n"/>
      <c r="I52" s="232">
        <f>IF(OR(C52="",G52=""),"",IF(ISNUMBER(SEARCH(TRIM(G52),INDEX('ผู้รับ-ส่ง'!$Q$9:$Q$13,C52))),"✓ มีสิทธิ์รับ","⚠ ไม่อยู่ในรายชื่อ"))</f>
        <v/>
      </c>
      <c r="J52" s="223" t="n"/>
      <c r="K52" s="223" t="n"/>
      <c r="L52" s="233">
        <f>IF(C52="","",IFERROR(INDEX('ผู้รับ-ส่ง'!$O$9:$O$13,C52)&amp;"",""))</f>
        <v/>
      </c>
    </row>
    <row r="53">
      <c r="A53" s="221" t="n"/>
      <c r="B53" s="221" t="n"/>
      <c r="C53" s="221" t="n"/>
      <c r="D53" s="230">
        <f>IF(C53="","",IFERROR(INDEX('ข้อมูลนักเรียน'!$T$9:$T$13,C53),"ไม่พบเลขที่"))</f>
        <v/>
      </c>
      <c r="E53" s="221" t="n"/>
      <c r="F53" s="231" t="n"/>
      <c r="G53" s="223" t="n"/>
      <c r="H53" s="221" t="n"/>
      <c r="I53" s="232">
        <f>IF(OR(C53="",G53=""),"",IF(ISNUMBER(SEARCH(TRIM(G53),INDEX('ผู้รับ-ส่ง'!$Q$9:$Q$13,C53))),"✓ มีสิทธิ์รับ","⚠ ไม่อยู่ในรายชื่อ"))</f>
        <v/>
      </c>
      <c r="J53" s="223" t="n"/>
      <c r="K53" s="223" t="n"/>
      <c r="L53" s="233">
        <f>IF(C53="","",IFERROR(INDEX('ผู้รับ-ส่ง'!$O$9:$O$13,C53)&amp;"",""))</f>
        <v/>
      </c>
    </row>
    <row r="54">
      <c r="A54" s="221" t="n"/>
      <c r="B54" s="221" t="n"/>
      <c r="C54" s="221" t="n"/>
      <c r="D54" s="230">
        <f>IF(C54="","",IFERROR(INDEX('ข้อมูลนักเรียน'!$T$9:$T$13,C54),"ไม่พบเลขที่"))</f>
        <v/>
      </c>
      <c r="E54" s="221" t="n"/>
      <c r="F54" s="231" t="n"/>
      <c r="G54" s="223" t="n"/>
      <c r="H54" s="221" t="n"/>
      <c r="I54" s="232">
        <f>IF(OR(C54="",G54=""),"",IF(ISNUMBER(SEARCH(TRIM(G54),INDEX('ผู้รับ-ส่ง'!$Q$9:$Q$13,C54))),"✓ มีสิทธิ์รับ","⚠ ไม่อยู่ในรายชื่อ"))</f>
        <v/>
      </c>
      <c r="J54" s="223" t="n"/>
      <c r="K54" s="223" t="n"/>
      <c r="L54" s="233">
        <f>IF(C54="","",IFERROR(INDEX('ผู้รับ-ส่ง'!$O$9:$O$13,C54)&amp;"",""))</f>
        <v/>
      </c>
    </row>
    <row r="55">
      <c r="A55" s="221" t="n"/>
      <c r="B55" s="221" t="n"/>
      <c r="C55" s="221" t="n"/>
      <c r="D55" s="230">
        <f>IF(C55="","",IFERROR(INDEX('ข้อมูลนักเรียน'!$T$9:$T$13,C55),"ไม่พบเลขที่"))</f>
        <v/>
      </c>
      <c r="E55" s="221" t="n"/>
      <c r="F55" s="231" t="n"/>
      <c r="G55" s="223" t="n"/>
      <c r="H55" s="221" t="n"/>
      <c r="I55" s="232">
        <f>IF(OR(C55="",G55=""),"",IF(ISNUMBER(SEARCH(TRIM(G55),INDEX('ผู้รับ-ส่ง'!$Q$9:$Q$13,C55))),"✓ มีสิทธิ์รับ","⚠ ไม่อยู่ในรายชื่อ"))</f>
        <v/>
      </c>
      <c r="J55" s="223" t="n"/>
      <c r="K55" s="223" t="n"/>
      <c r="L55" s="233">
        <f>IF(C55="","",IFERROR(INDEX('ผู้รับ-ส่ง'!$O$9:$O$13,C55)&amp;"",""))</f>
        <v/>
      </c>
    </row>
    <row r="56">
      <c r="A56" s="221" t="n"/>
      <c r="B56" s="221" t="n"/>
      <c r="C56" s="221" t="n"/>
      <c r="D56" s="230">
        <f>IF(C56="","",IFERROR(INDEX('ข้อมูลนักเรียน'!$T$9:$T$13,C56),"ไม่พบเลขที่"))</f>
        <v/>
      </c>
      <c r="E56" s="221" t="n"/>
      <c r="F56" s="231" t="n"/>
      <c r="G56" s="223" t="n"/>
      <c r="H56" s="221" t="n"/>
      <c r="I56" s="232">
        <f>IF(OR(C56="",G56=""),"",IF(ISNUMBER(SEARCH(TRIM(G56),INDEX('ผู้รับ-ส่ง'!$Q$9:$Q$13,C56))),"✓ มีสิทธิ์รับ","⚠ ไม่อยู่ในรายชื่อ"))</f>
        <v/>
      </c>
      <c r="J56" s="223" t="n"/>
      <c r="K56" s="223" t="n"/>
      <c r="L56" s="233">
        <f>IF(C56="","",IFERROR(INDEX('ผู้รับ-ส่ง'!$O$9:$O$13,C56)&amp;"",""))</f>
        <v/>
      </c>
    </row>
    <row r="57">
      <c r="A57" s="221" t="n"/>
      <c r="B57" s="221" t="n"/>
      <c r="C57" s="221" t="n"/>
      <c r="D57" s="230">
        <f>IF(C57="","",IFERROR(INDEX('ข้อมูลนักเรียน'!$T$9:$T$13,C57),"ไม่พบเลขที่"))</f>
        <v/>
      </c>
      <c r="E57" s="221" t="n"/>
      <c r="F57" s="231" t="n"/>
      <c r="G57" s="223" t="n"/>
      <c r="H57" s="221" t="n"/>
      <c r="I57" s="232">
        <f>IF(OR(C57="",G57=""),"",IF(ISNUMBER(SEARCH(TRIM(G57),INDEX('ผู้รับ-ส่ง'!$Q$9:$Q$13,C57))),"✓ มีสิทธิ์รับ","⚠ ไม่อยู่ในรายชื่อ"))</f>
        <v/>
      </c>
      <c r="J57" s="223" t="n"/>
      <c r="K57" s="223" t="n"/>
      <c r="L57" s="233">
        <f>IF(C57="","",IFERROR(INDEX('ผู้รับ-ส่ง'!$O$9:$O$13,C57)&amp;"",""))</f>
        <v/>
      </c>
    </row>
    <row r="58">
      <c r="A58" s="221" t="n"/>
      <c r="B58" s="221" t="n"/>
      <c r="C58" s="221" t="n"/>
      <c r="D58" s="230">
        <f>IF(C58="","",IFERROR(INDEX('ข้อมูลนักเรียน'!$T$9:$T$13,C58),"ไม่พบเลขที่"))</f>
        <v/>
      </c>
      <c r="E58" s="221" t="n"/>
      <c r="F58" s="231" t="n"/>
      <c r="G58" s="223" t="n"/>
      <c r="H58" s="221" t="n"/>
      <c r="I58" s="232">
        <f>IF(OR(C58="",G58=""),"",IF(ISNUMBER(SEARCH(TRIM(G58),INDEX('ผู้รับ-ส่ง'!$Q$9:$Q$13,C58))),"✓ มีสิทธิ์รับ","⚠ ไม่อยู่ในรายชื่อ"))</f>
        <v/>
      </c>
      <c r="J58" s="223" t="n"/>
      <c r="K58" s="223" t="n"/>
      <c r="L58" s="233">
        <f>IF(C58="","",IFERROR(INDEX('ผู้รับ-ส่ง'!$O$9:$O$13,C58)&amp;"",""))</f>
        <v/>
      </c>
    </row>
    <row r="59">
      <c r="A59" s="221" t="n"/>
      <c r="B59" s="221" t="n"/>
      <c r="C59" s="221" t="n"/>
      <c r="D59" s="230">
        <f>IF(C59="","",IFERROR(INDEX('ข้อมูลนักเรียน'!$T$9:$T$13,C59),"ไม่พบเลขที่"))</f>
        <v/>
      </c>
      <c r="E59" s="221" t="n"/>
      <c r="F59" s="231" t="n"/>
      <c r="G59" s="223" t="n"/>
      <c r="H59" s="221" t="n"/>
      <c r="I59" s="232">
        <f>IF(OR(C59="",G59=""),"",IF(ISNUMBER(SEARCH(TRIM(G59),INDEX('ผู้รับ-ส่ง'!$Q$9:$Q$13,C59))),"✓ มีสิทธิ์รับ","⚠ ไม่อยู่ในรายชื่อ"))</f>
        <v/>
      </c>
      <c r="J59" s="223" t="n"/>
      <c r="K59" s="223" t="n"/>
      <c r="L59" s="233">
        <f>IF(C59="","",IFERROR(INDEX('ผู้รับ-ส่ง'!$O$9:$O$13,C59)&amp;"",""))</f>
        <v/>
      </c>
    </row>
    <row r="60">
      <c r="A60" s="221" t="n"/>
      <c r="B60" s="221" t="n"/>
      <c r="C60" s="221" t="n"/>
      <c r="D60" s="230">
        <f>IF(C60="","",IFERROR(INDEX('ข้อมูลนักเรียน'!$T$9:$T$13,C60),"ไม่พบเลขที่"))</f>
        <v/>
      </c>
      <c r="E60" s="221" t="n"/>
      <c r="F60" s="231" t="n"/>
      <c r="G60" s="223" t="n"/>
      <c r="H60" s="221" t="n"/>
      <c r="I60" s="232">
        <f>IF(OR(C60="",G60=""),"",IF(ISNUMBER(SEARCH(TRIM(G60),INDEX('ผู้รับ-ส่ง'!$Q$9:$Q$13,C60))),"✓ มีสิทธิ์รับ","⚠ ไม่อยู่ในรายชื่อ"))</f>
        <v/>
      </c>
      <c r="J60" s="223" t="n"/>
      <c r="K60" s="223" t="n"/>
      <c r="L60" s="233">
        <f>IF(C60="","",IFERROR(INDEX('ผู้รับ-ส่ง'!$O$9:$O$13,C60)&amp;"",""))</f>
        <v/>
      </c>
    </row>
    <row r="61">
      <c r="A61" s="221" t="n"/>
      <c r="B61" s="221" t="n"/>
      <c r="C61" s="221" t="n"/>
      <c r="D61" s="230">
        <f>IF(C61="","",IFERROR(INDEX('ข้อมูลนักเรียน'!$T$9:$T$13,C61),"ไม่พบเลขที่"))</f>
        <v/>
      </c>
      <c r="E61" s="221" t="n"/>
      <c r="F61" s="231" t="n"/>
      <c r="G61" s="223" t="n"/>
      <c r="H61" s="221" t="n"/>
      <c r="I61" s="232">
        <f>IF(OR(C61="",G61=""),"",IF(ISNUMBER(SEARCH(TRIM(G61),INDEX('ผู้รับ-ส่ง'!$Q$9:$Q$13,C61))),"✓ มีสิทธิ์รับ","⚠ ไม่อยู่ในรายชื่อ"))</f>
        <v/>
      </c>
      <c r="J61" s="223" t="n"/>
      <c r="K61" s="223" t="n"/>
      <c r="L61" s="233">
        <f>IF(C61="","",IFERROR(INDEX('ผู้รับ-ส่ง'!$O$9:$O$13,C61)&amp;"",""))</f>
        <v/>
      </c>
    </row>
    <row r="62">
      <c r="A62" s="221" t="n"/>
      <c r="B62" s="221" t="n"/>
      <c r="C62" s="221" t="n"/>
      <c r="D62" s="230">
        <f>IF(C62="","",IFERROR(INDEX('ข้อมูลนักเรียน'!$T$9:$T$13,C62),"ไม่พบเลขที่"))</f>
        <v/>
      </c>
      <c r="E62" s="221" t="n"/>
      <c r="F62" s="231" t="n"/>
      <c r="G62" s="223" t="n"/>
      <c r="H62" s="221" t="n"/>
      <c r="I62" s="232">
        <f>IF(OR(C62="",G62=""),"",IF(ISNUMBER(SEARCH(TRIM(G62),INDEX('ผู้รับ-ส่ง'!$Q$9:$Q$13,C62))),"✓ มีสิทธิ์รับ","⚠ ไม่อยู่ในรายชื่อ"))</f>
        <v/>
      </c>
      <c r="J62" s="223" t="n"/>
      <c r="K62" s="223" t="n"/>
      <c r="L62" s="233">
        <f>IF(C62="","",IFERROR(INDEX('ผู้รับ-ส่ง'!$O$9:$O$13,C62)&amp;"",""))</f>
        <v/>
      </c>
    </row>
    <row r="63">
      <c r="A63" s="221" t="n"/>
      <c r="B63" s="221" t="n"/>
      <c r="C63" s="221" t="n"/>
      <c r="D63" s="230">
        <f>IF(C63="","",IFERROR(INDEX('ข้อมูลนักเรียน'!$T$9:$T$13,C63),"ไม่พบเลขที่"))</f>
        <v/>
      </c>
      <c r="E63" s="221" t="n"/>
      <c r="F63" s="231" t="n"/>
      <c r="G63" s="223" t="n"/>
      <c r="H63" s="221" t="n"/>
      <c r="I63" s="232">
        <f>IF(OR(C63="",G63=""),"",IF(ISNUMBER(SEARCH(TRIM(G63),INDEX('ผู้รับ-ส่ง'!$Q$9:$Q$13,C63))),"✓ มีสิทธิ์รับ","⚠ ไม่อยู่ในรายชื่อ"))</f>
        <v/>
      </c>
      <c r="J63" s="223" t="n"/>
      <c r="K63" s="223" t="n"/>
      <c r="L63" s="233">
        <f>IF(C63="","",IFERROR(INDEX('ผู้รับ-ส่ง'!$O$9:$O$13,C63)&amp;"",""))</f>
        <v/>
      </c>
    </row>
    <row r="64">
      <c r="A64" s="221" t="n"/>
      <c r="B64" s="221" t="n"/>
      <c r="C64" s="221" t="n"/>
      <c r="D64" s="230">
        <f>IF(C64="","",IFERROR(INDEX('ข้อมูลนักเรียน'!$T$9:$T$13,C64),"ไม่พบเลขที่"))</f>
        <v/>
      </c>
      <c r="E64" s="221" t="n"/>
      <c r="F64" s="231" t="n"/>
      <c r="G64" s="223" t="n"/>
      <c r="H64" s="221" t="n"/>
      <c r="I64" s="232">
        <f>IF(OR(C64="",G64=""),"",IF(ISNUMBER(SEARCH(TRIM(G64),INDEX('ผู้รับ-ส่ง'!$Q$9:$Q$13,C64))),"✓ มีสิทธิ์รับ","⚠ ไม่อยู่ในรายชื่อ"))</f>
        <v/>
      </c>
      <c r="J64" s="223" t="n"/>
      <c r="K64" s="223" t="n"/>
      <c r="L64" s="233">
        <f>IF(C64="","",IFERROR(INDEX('ผู้รับ-ส่ง'!$O$9:$O$13,C64)&amp;"",""))</f>
        <v/>
      </c>
    </row>
    <row r="65">
      <c r="A65" s="221" t="n"/>
      <c r="B65" s="221" t="n"/>
      <c r="C65" s="221" t="n"/>
      <c r="D65" s="230">
        <f>IF(C65="","",IFERROR(INDEX('ข้อมูลนักเรียน'!$T$9:$T$13,C65),"ไม่พบเลขที่"))</f>
        <v/>
      </c>
      <c r="E65" s="221" t="n"/>
      <c r="F65" s="231" t="n"/>
      <c r="G65" s="223" t="n"/>
      <c r="H65" s="221" t="n"/>
      <c r="I65" s="232">
        <f>IF(OR(C65="",G65=""),"",IF(ISNUMBER(SEARCH(TRIM(G65),INDEX('ผู้รับ-ส่ง'!$Q$9:$Q$13,C65))),"✓ มีสิทธิ์รับ","⚠ ไม่อยู่ในรายชื่อ"))</f>
        <v/>
      </c>
      <c r="J65" s="223" t="n"/>
      <c r="K65" s="223" t="n"/>
      <c r="L65" s="233">
        <f>IF(C65="","",IFERROR(INDEX('ผู้รับ-ส่ง'!$O$9:$O$13,C65)&amp;"",""))</f>
        <v/>
      </c>
    </row>
    <row r="66">
      <c r="A66" s="221" t="n"/>
      <c r="B66" s="221" t="n"/>
      <c r="C66" s="221" t="n"/>
      <c r="D66" s="230">
        <f>IF(C66="","",IFERROR(INDEX('ข้อมูลนักเรียน'!$T$9:$T$13,C66),"ไม่พบเลขที่"))</f>
        <v/>
      </c>
      <c r="E66" s="221" t="n"/>
      <c r="F66" s="231" t="n"/>
      <c r="G66" s="223" t="n"/>
      <c r="H66" s="221" t="n"/>
      <c r="I66" s="232">
        <f>IF(OR(C66="",G66=""),"",IF(ISNUMBER(SEARCH(TRIM(G66),INDEX('ผู้รับ-ส่ง'!$Q$9:$Q$13,C66))),"✓ มีสิทธิ์รับ","⚠ ไม่อยู่ในรายชื่อ"))</f>
        <v/>
      </c>
      <c r="J66" s="223" t="n"/>
      <c r="K66" s="223" t="n"/>
      <c r="L66" s="233">
        <f>IF(C66="","",IFERROR(INDEX('ผู้รับ-ส่ง'!$O$9:$O$13,C66)&amp;"",""))</f>
        <v/>
      </c>
    </row>
    <row r="67">
      <c r="A67" s="221" t="n"/>
      <c r="B67" s="221" t="n"/>
      <c r="C67" s="221" t="n"/>
      <c r="D67" s="230">
        <f>IF(C67="","",IFERROR(INDEX('ข้อมูลนักเรียน'!$T$9:$T$13,C67),"ไม่พบเลขที่"))</f>
        <v/>
      </c>
      <c r="E67" s="221" t="n"/>
      <c r="F67" s="231" t="n"/>
      <c r="G67" s="223" t="n"/>
      <c r="H67" s="221" t="n"/>
      <c r="I67" s="232">
        <f>IF(OR(C67="",G67=""),"",IF(ISNUMBER(SEARCH(TRIM(G67),INDEX('ผู้รับ-ส่ง'!$Q$9:$Q$13,C67))),"✓ มีสิทธิ์รับ","⚠ ไม่อยู่ในรายชื่อ"))</f>
        <v/>
      </c>
      <c r="J67" s="223" t="n"/>
      <c r="K67" s="223" t="n"/>
      <c r="L67" s="233">
        <f>IF(C67="","",IFERROR(INDEX('ผู้รับ-ส่ง'!$O$9:$O$13,C67)&amp;"",""))</f>
        <v/>
      </c>
    </row>
    <row r="68">
      <c r="A68" s="221" t="n"/>
      <c r="B68" s="221" t="n"/>
      <c r="C68" s="221" t="n"/>
      <c r="D68" s="230">
        <f>IF(C68="","",IFERROR(INDEX('ข้อมูลนักเรียน'!$T$9:$T$13,C68),"ไม่พบเลขที่"))</f>
        <v/>
      </c>
      <c r="E68" s="221" t="n"/>
      <c r="F68" s="231" t="n"/>
      <c r="G68" s="223" t="n"/>
      <c r="H68" s="221" t="n"/>
      <c r="I68" s="232">
        <f>IF(OR(C68="",G68=""),"",IF(ISNUMBER(SEARCH(TRIM(G68),INDEX('ผู้รับ-ส่ง'!$Q$9:$Q$13,C68))),"✓ มีสิทธิ์รับ","⚠ ไม่อยู่ในรายชื่อ"))</f>
        <v/>
      </c>
      <c r="J68" s="223" t="n"/>
      <c r="K68" s="223" t="n"/>
      <c r="L68" s="233">
        <f>IF(C68="","",IFERROR(INDEX('ผู้รับ-ส่ง'!$O$9:$O$13,C68)&amp;"",""))</f>
        <v/>
      </c>
    </row>
    <row r="69">
      <c r="A69" s="221" t="n"/>
      <c r="B69" s="221" t="n"/>
      <c r="C69" s="221" t="n"/>
      <c r="D69" s="230">
        <f>IF(C69="","",IFERROR(INDEX('ข้อมูลนักเรียน'!$T$9:$T$13,C69),"ไม่พบเลขที่"))</f>
        <v/>
      </c>
      <c r="E69" s="221" t="n"/>
      <c r="F69" s="231" t="n"/>
      <c r="G69" s="223" t="n"/>
      <c r="H69" s="221" t="n"/>
      <c r="I69" s="232">
        <f>IF(OR(C69="",G69=""),"",IF(ISNUMBER(SEARCH(TRIM(G69),INDEX('ผู้รับ-ส่ง'!$Q$9:$Q$13,C69))),"✓ มีสิทธิ์รับ","⚠ ไม่อยู่ในรายชื่อ"))</f>
        <v/>
      </c>
      <c r="J69" s="223" t="n"/>
      <c r="K69" s="223" t="n"/>
      <c r="L69" s="233">
        <f>IF(C69="","",IFERROR(INDEX('ผู้รับ-ส่ง'!$O$9:$O$13,C69)&amp;"",""))</f>
        <v/>
      </c>
    </row>
    <row r="70">
      <c r="A70" s="221" t="n"/>
      <c r="B70" s="221" t="n"/>
      <c r="C70" s="221" t="n"/>
      <c r="D70" s="230">
        <f>IF(C70="","",IFERROR(INDEX('ข้อมูลนักเรียน'!$T$9:$T$13,C70),"ไม่พบเลขที่"))</f>
        <v/>
      </c>
      <c r="E70" s="221" t="n"/>
      <c r="F70" s="231" t="n"/>
      <c r="G70" s="223" t="n"/>
      <c r="H70" s="221" t="n"/>
      <c r="I70" s="232">
        <f>IF(OR(C70="",G70=""),"",IF(ISNUMBER(SEARCH(TRIM(G70),INDEX('ผู้รับ-ส่ง'!$Q$9:$Q$13,C70))),"✓ มีสิทธิ์รับ","⚠ ไม่อยู่ในรายชื่อ"))</f>
        <v/>
      </c>
      <c r="J70" s="223" t="n"/>
      <c r="K70" s="223" t="n"/>
      <c r="L70" s="233">
        <f>IF(C70="","",IFERROR(INDEX('ผู้รับ-ส่ง'!$O$9:$O$13,C70)&amp;"",""))</f>
        <v/>
      </c>
    </row>
    <row r="71">
      <c r="A71" s="221" t="n"/>
      <c r="B71" s="221" t="n"/>
      <c r="C71" s="221" t="n"/>
      <c r="D71" s="230">
        <f>IF(C71="","",IFERROR(INDEX('ข้อมูลนักเรียน'!$T$9:$T$13,C71),"ไม่พบเลขที่"))</f>
        <v/>
      </c>
      <c r="E71" s="221" t="n"/>
      <c r="F71" s="231" t="n"/>
      <c r="G71" s="223" t="n"/>
      <c r="H71" s="221" t="n"/>
      <c r="I71" s="232">
        <f>IF(OR(C71="",G71=""),"",IF(ISNUMBER(SEARCH(TRIM(G71),INDEX('ผู้รับ-ส่ง'!$Q$9:$Q$13,C71))),"✓ มีสิทธิ์รับ","⚠ ไม่อยู่ในรายชื่อ"))</f>
        <v/>
      </c>
      <c r="J71" s="223" t="n"/>
      <c r="K71" s="223" t="n"/>
      <c r="L71" s="233">
        <f>IF(C71="","",IFERROR(INDEX('ผู้รับ-ส่ง'!$O$9:$O$13,C71)&amp;"",""))</f>
        <v/>
      </c>
    </row>
    <row r="72">
      <c r="A72" s="221" t="n"/>
      <c r="B72" s="221" t="n"/>
      <c r="C72" s="221" t="n"/>
      <c r="D72" s="230">
        <f>IF(C72="","",IFERROR(INDEX('ข้อมูลนักเรียน'!$T$9:$T$13,C72),"ไม่พบเลขที่"))</f>
        <v/>
      </c>
      <c r="E72" s="221" t="n"/>
      <c r="F72" s="231" t="n"/>
      <c r="G72" s="223" t="n"/>
      <c r="H72" s="221" t="n"/>
      <c r="I72" s="232">
        <f>IF(OR(C72="",G72=""),"",IF(ISNUMBER(SEARCH(TRIM(G72),INDEX('ผู้รับ-ส่ง'!$Q$9:$Q$13,C72))),"✓ มีสิทธิ์รับ","⚠ ไม่อยู่ในรายชื่อ"))</f>
        <v/>
      </c>
      <c r="J72" s="223" t="n"/>
      <c r="K72" s="223" t="n"/>
      <c r="L72" s="233">
        <f>IF(C72="","",IFERROR(INDEX('ผู้รับ-ส่ง'!$O$9:$O$13,C72)&amp;"",""))</f>
        <v/>
      </c>
    </row>
    <row r="73">
      <c r="A73" s="221" t="n"/>
      <c r="B73" s="221" t="n"/>
      <c r="C73" s="221" t="n"/>
      <c r="D73" s="230">
        <f>IF(C73="","",IFERROR(INDEX('ข้อมูลนักเรียน'!$T$9:$T$13,C73),"ไม่พบเลขที่"))</f>
        <v/>
      </c>
      <c r="E73" s="221" t="n"/>
      <c r="F73" s="231" t="n"/>
      <c r="G73" s="223" t="n"/>
      <c r="H73" s="221" t="n"/>
      <c r="I73" s="232">
        <f>IF(OR(C73="",G73=""),"",IF(ISNUMBER(SEARCH(TRIM(G73),INDEX('ผู้รับ-ส่ง'!$Q$9:$Q$13,C73))),"✓ มีสิทธิ์รับ","⚠ ไม่อยู่ในรายชื่อ"))</f>
        <v/>
      </c>
      <c r="J73" s="223" t="n"/>
      <c r="K73" s="223" t="n"/>
      <c r="L73" s="233">
        <f>IF(C73="","",IFERROR(INDEX('ผู้รับ-ส่ง'!$O$9:$O$13,C73)&amp;"",""))</f>
        <v/>
      </c>
    </row>
    <row r="74">
      <c r="A74" s="221" t="n"/>
      <c r="B74" s="221" t="n"/>
      <c r="C74" s="221" t="n"/>
      <c r="D74" s="230">
        <f>IF(C74="","",IFERROR(INDEX('ข้อมูลนักเรียน'!$T$9:$T$13,C74),"ไม่พบเลขที่"))</f>
        <v/>
      </c>
      <c r="E74" s="221" t="n"/>
      <c r="F74" s="231" t="n"/>
      <c r="G74" s="223" t="n"/>
      <c r="H74" s="221" t="n"/>
      <c r="I74" s="232">
        <f>IF(OR(C74="",G74=""),"",IF(ISNUMBER(SEARCH(TRIM(G74),INDEX('ผู้รับ-ส่ง'!$Q$9:$Q$13,C74))),"✓ มีสิทธิ์รับ","⚠ ไม่อยู่ในรายชื่อ"))</f>
        <v/>
      </c>
      <c r="J74" s="223" t="n"/>
      <c r="K74" s="223" t="n"/>
      <c r="L74" s="233">
        <f>IF(C74="","",IFERROR(INDEX('ผู้รับ-ส่ง'!$O$9:$O$13,C74)&amp;"",""))</f>
        <v/>
      </c>
    </row>
    <row r="75">
      <c r="A75" s="221" t="n"/>
      <c r="B75" s="221" t="n"/>
      <c r="C75" s="221" t="n"/>
      <c r="D75" s="230">
        <f>IF(C75="","",IFERROR(INDEX('ข้อมูลนักเรียน'!$T$9:$T$13,C75),"ไม่พบเลขที่"))</f>
        <v/>
      </c>
      <c r="E75" s="221" t="n"/>
      <c r="F75" s="231" t="n"/>
      <c r="G75" s="223" t="n"/>
      <c r="H75" s="221" t="n"/>
      <c r="I75" s="232">
        <f>IF(OR(C75="",G75=""),"",IF(ISNUMBER(SEARCH(TRIM(G75),INDEX('ผู้รับ-ส่ง'!$Q$9:$Q$13,C75))),"✓ มีสิทธิ์รับ","⚠ ไม่อยู่ในรายชื่อ"))</f>
        <v/>
      </c>
      <c r="J75" s="223" t="n"/>
      <c r="K75" s="223" t="n"/>
      <c r="L75" s="233">
        <f>IF(C75="","",IFERROR(INDEX('ผู้รับ-ส่ง'!$O$9:$O$13,C75)&amp;"",""))</f>
        <v/>
      </c>
    </row>
    <row r="76">
      <c r="A76" s="221" t="n"/>
      <c r="B76" s="221" t="n"/>
      <c r="C76" s="221" t="n"/>
      <c r="D76" s="230">
        <f>IF(C76="","",IFERROR(INDEX('ข้อมูลนักเรียน'!$T$9:$T$13,C76),"ไม่พบเลขที่"))</f>
        <v/>
      </c>
      <c r="E76" s="221" t="n"/>
      <c r="F76" s="231" t="n"/>
      <c r="G76" s="223" t="n"/>
      <c r="H76" s="221" t="n"/>
      <c r="I76" s="232">
        <f>IF(OR(C76="",G76=""),"",IF(ISNUMBER(SEARCH(TRIM(G76),INDEX('ผู้รับ-ส่ง'!$Q$9:$Q$13,C76))),"✓ มีสิทธิ์รับ","⚠ ไม่อยู่ในรายชื่อ"))</f>
        <v/>
      </c>
      <c r="J76" s="223" t="n"/>
      <c r="K76" s="223" t="n"/>
      <c r="L76" s="233">
        <f>IF(C76="","",IFERROR(INDEX('ผู้รับ-ส่ง'!$O$9:$O$13,C76)&amp;"",""))</f>
        <v/>
      </c>
    </row>
    <row r="77">
      <c r="A77" s="221" t="n"/>
      <c r="B77" s="221" t="n"/>
      <c r="C77" s="221" t="n"/>
      <c r="D77" s="230">
        <f>IF(C77="","",IFERROR(INDEX('ข้อมูลนักเรียน'!$T$9:$T$13,C77),"ไม่พบเลขที่"))</f>
        <v/>
      </c>
      <c r="E77" s="221" t="n"/>
      <c r="F77" s="231" t="n"/>
      <c r="G77" s="223" t="n"/>
      <c r="H77" s="221" t="n"/>
      <c r="I77" s="232">
        <f>IF(OR(C77="",G77=""),"",IF(ISNUMBER(SEARCH(TRIM(G77),INDEX('ผู้รับ-ส่ง'!$Q$9:$Q$13,C77))),"✓ มีสิทธิ์รับ","⚠ ไม่อยู่ในรายชื่อ"))</f>
        <v/>
      </c>
      <c r="J77" s="223" t="n"/>
      <c r="K77" s="223" t="n"/>
      <c r="L77" s="233">
        <f>IF(C77="","",IFERROR(INDEX('ผู้รับ-ส่ง'!$O$9:$O$13,C77)&amp;"",""))</f>
        <v/>
      </c>
    </row>
    <row r="78">
      <c r="A78" s="221" t="n"/>
      <c r="B78" s="221" t="n"/>
      <c r="C78" s="221" t="n"/>
      <c r="D78" s="230">
        <f>IF(C78="","",IFERROR(INDEX('ข้อมูลนักเรียน'!$T$9:$T$13,C78),"ไม่พบเลขที่"))</f>
        <v/>
      </c>
      <c r="E78" s="221" t="n"/>
      <c r="F78" s="231" t="n"/>
      <c r="G78" s="223" t="n"/>
      <c r="H78" s="221" t="n"/>
      <c r="I78" s="232">
        <f>IF(OR(C78="",G78=""),"",IF(ISNUMBER(SEARCH(TRIM(G78),INDEX('ผู้รับ-ส่ง'!$Q$9:$Q$13,C78))),"✓ มีสิทธิ์รับ","⚠ ไม่อยู่ในรายชื่อ"))</f>
        <v/>
      </c>
      <c r="J78" s="223" t="n"/>
      <c r="K78" s="223" t="n"/>
      <c r="L78" s="233">
        <f>IF(C78="","",IFERROR(INDEX('ผู้รับ-ส่ง'!$O$9:$O$13,C78)&amp;"",""))</f>
        <v/>
      </c>
    </row>
    <row r="79">
      <c r="A79" s="221" t="n"/>
      <c r="B79" s="221" t="n"/>
      <c r="C79" s="221" t="n"/>
      <c r="D79" s="230">
        <f>IF(C79="","",IFERROR(INDEX('ข้อมูลนักเรียน'!$T$9:$T$13,C79),"ไม่พบเลขที่"))</f>
        <v/>
      </c>
      <c r="E79" s="221" t="n"/>
      <c r="F79" s="231" t="n"/>
      <c r="G79" s="223" t="n"/>
      <c r="H79" s="221" t="n"/>
      <c r="I79" s="232">
        <f>IF(OR(C79="",G79=""),"",IF(ISNUMBER(SEARCH(TRIM(G79),INDEX('ผู้รับ-ส่ง'!$Q$9:$Q$13,C79))),"✓ มีสิทธิ์รับ","⚠ ไม่อยู่ในรายชื่อ"))</f>
        <v/>
      </c>
      <c r="J79" s="223" t="n"/>
      <c r="K79" s="223" t="n"/>
      <c r="L79" s="233">
        <f>IF(C79="","",IFERROR(INDEX('ผู้รับ-ส่ง'!$O$9:$O$13,C79)&amp;"",""))</f>
        <v/>
      </c>
    </row>
    <row r="80">
      <c r="A80" s="221" t="n"/>
      <c r="B80" s="221" t="n"/>
      <c r="C80" s="221" t="n"/>
      <c r="D80" s="230">
        <f>IF(C80="","",IFERROR(INDEX('ข้อมูลนักเรียน'!$T$9:$T$13,C80),"ไม่พบเลขที่"))</f>
        <v/>
      </c>
      <c r="E80" s="221" t="n"/>
      <c r="F80" s="231" t="n"/>
      <c r="G80" s="223" t="n"/>
      <c r="H80" s="221" t="n"/>
      <c r="I80" s="232">
        <f>IF(OR(C80="",G80=""),"",IF(ISNUMBER(SEARCH(TRIM(G80),INDEX('ผู้รับ-ส่ง'!$Q$9:$Q$13,C80))),"✓ มีสิทธิ์รับ","⚠ ไม่อยู่ในรายชื่อ"))</f>
        <v/>
      </c>
      <c r="J80" s="223" t="n"/>
      <c r="K80" s="223" t="n"/>
      <c r="L80" s="233">
        <f>IF(C80="","",IFERROR(INDEX('ผู้รับ-ส่ง'!$O$9:$O$13,C80)&amp;"",""))</f>
        <v/>
      </c>
    </row>
    <row r="81">
      <c r="A81" s="221" t="n"/>
      <c r="B81" s="221" t="n"/>
      <c r="C81" s="221" t="n"/>
      <c r="D81" s="230">
        <f>IF(C81="","",IFERROR(INDEX('ข้อมูลนักเรียน'!$T$9:$T$13,C81),"ไม่พบเลขที่"))</f>
        <v/>
      </c>
      <c r="E81" s="221" t="n"/>
      <c r="F81" s="231" t="n"/>
      <c r="G81" s="223" t="n"/>
      <c r="H81" s="221" t="n"/>
      <c r="I81" s="232">
        <f>IF(OR(C81="",G81=""),"",IF(ISNUMBER(SEARCH(TRIM(G81),INDEX('ผู้รับ-ส่ง'!$Q$9:$Q$13,C81))),"✓ มีสิทธิ์รับ","⚠ ไม่อยู่ในรายชื่อ"))</f>
        <v/>
      </c>
      <c r="J81" s="223" t="n"/>
      <c r="K81" s="223" t="n"/>
      <c r="L81" s="233">
        <f>IF(C81="","",IFERROR(INDEX('ผู้รับ-ส่ง'!$O$9:$O$13,C81)&amp;"",""))</f>
        <v/>
      </c>
    </row>
    <row r="82">
      <c r="A82" s="221" t="n"/>
      <c r="B82" s="221" t="n"/>
      <c r="C82" s="221" t="n"/>
      <c r="D82" s="230">
        <f>IF(C82="","",IFERROR(INDEX('ข้อมูลนักเรียน'!$T$9:$T$13,C82),"ไม่พบเลขที่"))</f>
        <v/>
      </c>
      <c r="E82" s="221" t="n"/>
      <c r="F82" s="231" t="n"/>
      <c r="G82" s="223" t="n"/>
      <c r="H82" s="221" t="n"/>
      <c r="I82" s="232">
        <f>IF(OR(C82="",G82=""),"",IF(ISNUMBER(SEARCH(TRIM(G82),INDEX('ผู้รับ-ส่ง'!$Q$9:$Q$13,C82))),"✓ มีสิทธิ์รับ","⚠ ไม่อยู่ในรายชื่อ"))</f>
        <v/>
      </c>
      <c r="J82" s="223" t="n"/>
      <c r="K82" s="223" t="n"/>
      <c r="L82" s="233">
        <f>IF(C82="","",IFERROR(INDEX('ผู้รับ-ส่ง'!$O$9:$O$13,C82)&amp;"",""))</f>
        <v/>
      </c>
    </row>
    <row r="83">
      <c r="A83" s="221" t="n"/>
      <c r="B83" s="221" t="n"/>
      <c r="C83" s="221" t="n"/>
      <c r="D83" s="230">
        <f>IF(C83="","",IFERROR(INDEX('ข้อมูลนักเรียน'!$T$9:$T$13,C83),"ไม่พบเลขที่"))</f>
        <v/>
      </c>
      <c r="E83" s="221" t="n"/>
      <c r="F83" s="231" t="n"/>
      <c r="G83" s="223" t="n"/>
      <c r="H83" s="221" t="n"/>
      <c r="I83" s="232">
        <f>IF(OR(C83="",G83=""),"",IF(ISNUMBER(SEARCH(TRIM(G83),INDEX('ผู้รับ-ส่ง'!$Q$9:$Q$13,C83))),"✓ มีสิทธิ์รับ","⚠ ไม่อยู่ในรายชื่อ"))</f>
        <v/>
      </c>
      <c r="J83" s="223" t="n"/>
      <c r="K83" s="223" t="n"/>
      <c r="L83" s="233">
        <f>IF(C83="","",IFERROR(INDEX('ผู้รับ-ส่ง'!$O$9:$O$13,C83)&amp;"",""))</f>
        <v/>
      </c>
    </row>
    <row r="84">
      <c r="A84" s="221" t="n"/>
      <c r="B84" s="221" t="n"/>
      <c r="C84" s="221" t="n"/>
      <c r="D84" s="230">
        <f>IF(C84="","",IFERROR(INDEX('ข้อมูลนักเรียน'!$T$9:$T$13,C84),"ไม่พบเลขที่"))</f>
        <v/>
      </c>
      <c r="E84" s="221" t="n"/>
      <c r="F84" s="231" t="n"/>
      <c r="G84" s="223" t="n"/>
      <c r="H84" s="221" t="n"/>
      <c r="I84" s="232">
        <f>IF(OR(C84="",G84=""),"",IF(ISNUMBER(SEARCH(TRIM(G84),INDEX('ผู้รับ-ส่ง'!$Q$9:$Q$13,C84))),"✓ มีสิทธิ์รับ","⚠ ไม่อยู่ในรายชื่อ"))</f>
        <v/>
      </c>
      <c r="J84" s="223" t="n"/>
      <c r="K84" s="223" t="n"/>
      <c r="L84" s="233">
        <f>IF(C84="","",IFERROR(INDEX('ผู้รับ-ส่ง'!$O$9:$O$13,C84)&amp;"",""))</f>
        <v/>
      </c>
    </row>
    <row r="85">
      <c r="A85" s="221" t="n"/>
      <c r="B85" s="221" t="n"/>
      <c r="C85" s="221" t="n"/>
      <c r="D85" s="230">
        <f>IF(C85="","",IFERROR(INDEX('ข้อมูลนักเรียน'!$T$9:$T$13,C85),"ไม่พบเลขที่"))</f>
        <v/>
      </c>
      <c r="E85" s="221" t="n"/>
      <c r="F85" s="231" t="n"/>
      <c r="G85" s="223" t="n"/>
      <c r="H85" s="221" t="n"/>
      <c r="I85" s="232">
        <f>IF(OR(C85="",G85=""),"",IF(ISNUMBER(SEARCH(TRIM(G85),INDEX('ผู้รับ-ส่ง'!$Q$9:$Q$13,C85))),"✓ มีสิทธิ์รับ","⚠ ไม่อยู่ในรายชื่อ"))</f>
        <v/>
      </c>
      <c r="J85" s="223" t="n"/>
      <c r="K85" s="223" t="n"/>
      <c r="L85" s="233">
        <f>IF(C85="","",IFERROR(INDEX('ผู้รับ-ส่ง'!$O$9:$O$13,C85)&amp;"",""))</f>
        <v/>
      </c>
    </row>
    <row r="86">
      <c r="A86" s="221" t="n"/>
      <c r="B86" s="221" t="n"/>
      <c r="C86" s="221" t="n"/>
      <c r="D86" s="230">
        <f>IF(C86="","",IFERROR(INDEX('ข้อมูลนักเรียน'!$T$9:$T$13,C86),"ไม่พบเลขที่"))</f>
        <v/>
      </c>
      <c r="E86" s="221" t="n"/>
      <c r="F86" s="231" t="n"/>
      <c r="G86" s="223" t="n"/>
      <c r="H86" s="221" t="n"/>
      <c r="I86" s="232">
        <f>IF(OR(C86="",G86=""),"",IF(ISNUMBER(SEARCH(TRIM(G86),INDEX('ผู้รับ-ส่ง'!$Q$9:$Q$13,C86))),"✓ มีสิทธิ์รับ","⚠ ไม่อยู่ในรายชื่อ"))</f>
        <v/>
      </c>
      <c r="J86" s="223" t="n"/>
      <c r="K86" s="223" t="n"/>
      <c r="L86" s="233">
        <f>IF(C86="","",IFERROR(INDEX('ผู้รับ-ส่ง'!$O$9:$O$13,C86)&amp;"",""))</f>
        <v/>
      </c>
    </row>
    <row r="87">
      <c r="A87" s="221" t="n"/>
      <c r="B87" s="221" t="n"/>
      <c r="C87" s="221" t="n"/>
      <c r="D87" s="230">
        <f>IF(C87="","",IFERROR(INDEX('ข้อมูลนักเรียน'!$T$9:$T$13,C87),"ไม่พบเลขที่"))</f>
        <v/>
      </c>
      <c r="E87" s="221" t="n"/>
      <c r="F87" s="231" t="n"/>
      <c r="G87" s="223" t="n"/>
      <c r="H87" s="221" t="n"/>
      <c r="I87" s="232">
        <f>IF(OR(C87="",G87=""),"",IF(ISNUMBER(SEARCH(TRIM(G87),INDEX('ผู้รับ-ส่ง'!$Q$9:$Q$13,C87))),"✓ มีสิทธิ์รับ","⚠ ไม่อยู่ในรายชื่อ"))</f>
        <v/>
      </c>
      <c r="J87" s="223" t="n"/>
      <c r="K87" s="223" t="n"/>
      <c r="L87" s="233">
        <f>IF(C87="","",IFERROR(INDEX('ผู้รับ-ส่ง'!$O$9:$O$13,C87)&amp;"",""))</f>
        <v/>
      </c>
    </row>
    <row r="88">
      <c r="A88" s="221" t="n"/>
      <c r="B88" s="221" t="n"/>
      <c r="C88" s="221" t="n"/>
      <c r="D88" s="230">
        <f>IF(C88="","",IFERROR(INDEX('ข้อมูลนักเรียน'!$T$9:$T$13,C88),"ไม่พบเลขที่"))</f>
        <v/>
      </c>
      <c r="E88" s="221" t="n"/>
      <c r="F88" s="231" t="n"/>
      <c r="G88" s="223" t="n"/>
      <c r="H88" s="221" t="n"/>
      <c r="I88" s="232">
        <f>IF(OR(C88="",G88=""),"",IF(ISNUMBER(SEARCH(TRIM(G88),INDEX('ผู้รับ-ส่ง'!$Q$9:$Q$13,C88))),"✓ มีสิทธิ์รับ","⚠ ไม่อยู่ในรายชื่อ"))</f>
        <v/>
      </c>
      <c r="J88" s="223" t="n"/>
      <c r="K88" s="223" t="n"/>
      <c r="L88" s="233">
        <f>IF(C88="","",IFERROR(INDEX('ผู้รับ-ส่ง'!$O$9:$O$13,C88)&amp;"",""))</f>
        <v/>
      </c>
    </row>
    <row r="89">
      <c r="A89" s="221" t="n"/>
      <c r="B89" s="221" t="n"/>
      <c r="C89" s="221" t="n"/>
      <c r="D89" s="230">
        <f>IF(C89="","",IFERROR(INDEX('ข้อมูลนักเรียน'!$T$9:$T$13,C89),"ไม่พบเลขที่"))</f>
        <v/>
      </c>
      <c r="E89" s="221" t="n"/>
      <c r="F89" s="231" t="n"/>
      <c r="G89" s="223" t="n"/>
      <c r="H89" s="221" t="n"/>
      <c r="I89" s="232">
        <f>IF(OR(C89="",G89=""),"",IF(ISNUMBER(SEARCH(TRIM(G89),INDEX('ผู้รับ-ส่ง'!$Q$9:$Q$13,C89))),"✓ มีสิทธิ์รับ","⚠ ไม่อยู่ในรายชื่อ"))</f>
        <v/>
      </c>
      <c r="J89" s="223" t="n"/>
      <c r="K89" s="223" t="n"/>
      <c r="L89" s="233">
        <f>IF(C89="","",IFERROR(INDEX('ผู้รับ-ส่ง'!$O$9:$O$13,C89)&amp;"",""))</f>
        <v/>
      </c>
    </row>
    <row r="90">
      <c r="A90" s="221" t="n"/>
      <c r="B90" s="221" t="n"/>
      <c r="C90" s="221" t="n"/>
      <c r="D90" s="230">
        <f>IF(C90="","",IFERROR(INDEX('ข้อมูลนักเรียน'!$T$9:$T$13,C90),"ไม่พบเลขที่"))</f>
        <v/>
      </c>
      <c r="E90" s="221" t="n"/>
      <c r="F90" s="231" t="n"/>
      <c r="G90" s="223" t="n"/>
      <c r="H90" s="221" t="n"/>
      <c r="I90" s="232">
        <f>IF(OR(C90="",G90=""),"",IF(ISNUMBER(SEARCH(TRIM(G90),INDEX('ผู้รับ-ส่ง'!$Q$9:$Q$13,C90))),"✓ มีสิทธิ์รับ","⚠ ไม่อยู่ในรายชื่อ"))</f>
        <v/>
      </c>
      <c r="J90" s="223" t="n"/>
      <c r="K90" s="223" t="n"/>
      <c r="L90" s="233">
        <f>IF(C90="","",IFERROR(INDEX('ผู้รับ-ส่ง'!$O$9:$O$13,C90)&amp;"",""))</f>
        <v/>
      </c>
    </row>
    <row r="91">
      <c r="A91" s="221" t="n"/>
      <c r="B91" s="221" t="n"/>
      <c r="C91" s="221" t="n"/>
      <c r="D91" s="230">
        <f>IF(C91="","",IFERROR(INDEX('ข้อมูลนักเรียน'!$T$9:$T$13,C91),"ไม่พบเลขที่"))</f>
        <v/>
      </c>
      <c r="E91" s="221" t="n"/>
      <c r="F91" s="231" t="n"/>
      <c r="G91" s="223" t="n"/>
      <c r="H91" s="221" t="n"/>
      <c r="I91" s="232">
        <f>IF(OR(C91="",G91=""),"",IF(ISNUMBER(SEARCH(TRIM(G91),INDEX('ผู้รับ-ส่ง'!$Q$9:$Q$13,C91))),"✓ มีสิทธิ์รับ","⚠ ไม่อยู่ในรายชื่อ"))</f>
        <v/>
      </c>
      <c r="J91" s="223" t="n"/>
      <c r="K91" s="223" t="n"/>
      <c r="L91" s="233">
        <f>IF(C91="","",IFERROR(INDEX('ผู้รับ-ส่ง'!$O$9:$O$13,C91)&amp;"",""))</f>
        <v/>
      </c>
    </row>
    <row r="92">
      <c r="A92" s="221" t="n"/>
      <c r="B92" s="221" t="n"/>
      <c r="C92" s="221" t="n"/>
      <c r="D92" s="230">
        <f>IF(C92="","",IFERROR(INDEX('ข้อมูลนักเรียน'!$T$9:$T$13,C92),"ไม่พบเลขที่"))</f>
        <v/>
      </c>
      <c r="E92" s="221" t="n"/>
      <c r="F92" s="231" t="n"/>
      <c r="G92" s="223" t="n"/>
      <c r="H92" s="221" t="n"/>
      <c r="I92" s="232">
        <f>IF(OR(C92="",G92=""),"",IF(ISNUMBER(SEARCH(TRIM(G92),INDEX('ผู้รับ-ส่ง'!$Q$9:$Q$13,C92))),"✓ มีสิทธิ์รับ","⚠ ไม่อยู่ในรายชื่อ"))</f>
        <v/>
      </c>
      <c r="J92" s="223" t="n"/>
      <c r="K92" s="223" t="n"/>
      <c r="L92" s="233">
        <f>IF(C92="","",IFERROR(INDEX('ผู้รับ-ส่ง'!$O$9:$O$13,C92)&amp;"",""))</f>
        <v/>
      </c>
    </row>
    <row r="93">
      <c r="A93" s="221" t="n"/>
      <c r="B93" s="221" t="n"/>
      <c r="C93" s="221" t="n"/>
      <c r="D93" s="230">
        <f>IF(C93="","",IFERROR(INDEX('ข้อมูลนักเรียน'!$T$9:$T$13,C93),"ไม่พบเลขที่"))</f>
        <v/>
      </c>
      <c r="E93" s="221" t="n"/>
      <c r="F93" s="231" t="n"/>
      <c r="G93" s="223" t="n"/>
      <c r="H93" s="221" t="n"/>
      <c r="I93" s="232">
        <f>IF(OR(C93="",G93=""),"",IF(ISNUMBER(SEARCH(TRIM(G93),INDEX('ผู้รับ-ส่ง'!$Q$9:$Q$13,C93))),"✓ มีสิทธิ์รับ","⚠ ไม่อยู่ในรายชื่อ"))</f>
        <v/>
      </c>
      <c r="J93" s="223" t="n"/>
      <c r="K93" s="223" t="n"/>
      <c r="L93" s="233">
        <f>IF(C93="","",IFERROR(INDEX('ผู้รับ-ส่ง'!$O$9:$O$13,C93)&amp;"",""))</f>
        <v/>
      </c>
    </row>
    <row r="94">
      <c r="A94" s="221" t="n"/>
      <c r="B94" s="221" t="n"/>
      <c r="C94" s="221" t="n"/>
      <c r="D94" s="230">
        <f>IF(C94="","",IFERROR(INDEX('ข้อมูลนักเรียน'!$T$9:$T$13,C94),"ไม่พบเลขที่"))</f>
        <v/>
      </c>
      <c r="E94" s="221" t="n"/>
      <c r="F94" s="231" t="n"/>
      <c r="G94" s="223" t="n"/>
      <c r="H94" s="221" t="n"/>
      <c r="I94" s="232">
        <f>IF(OR(C94="",G94=""),"",IF(ISNUMBER(SEARCH(TRIM(G94),INDEX('ผู้รับ-ส่ง'!$Q$9:$Q$13,C94))),"✓ มีสิทธิ์รับ","⚠ ไม่อยู่ในรายชื่อ"))</f>
        <v/>
      </c>
      <c r="J94" s="223" t="n"/>
      <c r="K94" s="223" t="n"/>
      <c r="L94" s="233">
        <f>IF(C94="","",IFERROR(INDEX('ผู้รับ-ส่ง'!$O$9:$O$13,C94)&amp;"",""))</f>
        <v/>
      </c>
    </row>
    <row r="95">
      <c r="A95" s="221" t="n"/>
      <c r="B95" s="221" t="n"/>
      <c r="C95" s="221" t="n"/>
      <c r="D95" s="230">
        <f>IF(C95="","",IFERROR(INDEX('ข้อมูลนักเรียน'!$T$9:$T$13,C95),"ไม่พบเลขที่"))</f>
        <v/>
      </c>
      <c r="E95" s="221" t="n"/>
      <c r="F95" s="231" t="n"/>
      <c r="G95" s="223" t="n"/>
      <c r="H95" s="221" t="n"/>
      <c r="I95" s="232">
        <f>IF(OR(C95="",G95=""),"",IF(ISNUMBER(SEARCH(TRIM(G95),INDEX('ผู้รับ-ส่ง'!$Q$9:$Q$13,C95))),"✓ มีสิทธิ์รับ","⚠ ไม่อยู่ในรายชื่อ"))</f>
        <v/>
      </c>
      <c r="J95" s="223" t="n"/>
      <c r="K95" s="223" t="n"/>
      <c r="L95" s="233">
        <f>IF(C95="","",IFERROR(INDEX('ผู้รับ-ส่ง'!$O$9:$O$13,C95)&amp;"",""))</f>
        <v/>
      </c>
    </row>
    <row r="96">
      <c r="A96" s="221" t="n"/>
      <c r="B96" s="221" t="n"/>
      <c r="C96" s="221" t="n"/>
      <c r="D96" s="230">
        <f>IF(C96="","",IFERROR(INDEX('ข้อมูลนักเรียน'!$T$9:$T$13,C96),"ไม่พบเลขที่"))</f>
        <v/>
      </c>
      <c r="E96" s="221" t="n"/>
      <c r="F96" s="231" t="n"/>
      <c r="G96" s="223" t="n"/>
      <c r="H96" s="221" t="n"/>
      <c r="I96" s="232">
        <f>IF(OR(C96="",G96=""),"",IF(ISNUMBER(SEARCH(TRIM(G96),INDEX('ผู้รับ-ส่ง'!$Q$9:$Q$13,C96))),"✓ มีสิทธิ์รับ","⚠ ไม่อยู่ในรายชื่อ"))</f>
        <v/>
      </c>
      <c r="J96" s="223" t="n"/>
      <c r="K96" s="223" t="n"/>
      <c r="L96" s="233">
        <f>IF(C96="","",IFERROR(INDEX('ผู้รับ-ส่ง'!$O$9:$O$13,C96)&amp;"",""))</f>
        <v/>
      </c>
    </row>
    <row r="97">
      <c r="A97" s="221" t="n"/>
      <c r="B97" s="221" t="n"/>
      <c r="C97" s="221" t="n"/>
      <c r="D97" s="230">
        <f>IF(C97="","",IFERROR(INDEX('ข้อมูลนักเรียน'!$T$9:$T$13,C97),"ไม่พบเลขที่"))</f>
        <v/>
      </c>
      <c r="E97" s="221" t="n"/>
      <c r="F97" s="231" t="n"/>
      <c r="G97" s="223" t="n"/>
      <c r="H97" s="221" t="n"/>
      <c r="I97" s="232">
        <f>IF(OR(C97="",G97=""),"",IF(ISNUMBER(SEARCH(TRIM(G97),INDEX('ผู้รับ-ส่ง'!$Q$9:$Q$13,C97))),"✓ มีสิทธิ์รับ","⚠ ไม่อยู่ในรายชื่อ"))</f>
        <v/>
      </c>
      <c r="J97" s="223" t="n"/>
      <c r="K97" s="223" t="n"/>
      <c r="L97" s="233">
        <f>IF(C97="","",IFERROR(INDEX('ผู้รับ-ส่ง'!$O$9:$O$13,C97)&amp;"",""))</f>
        <v/>
      </c>
    </row>
    <row r="98">
      <c r="A98" s="221" t="n"/>
      <c r="B98" s="221" t="n"/>
      <c r="C98" s="221" t="n"/>
      <c r="D98" s="230">
        <f>IF(C98="","",IFERROR(INDEX('ข้อมูลนักเรียน'!$T$9:$T$13,C98),"ไม่พบเลขที่"))</f>
        <v/>
      </c>
      <c r="E98" s="221" t="n"/>
      <c r="F98" s="231" t="n"/>
      <c r="G98" s="223" t="n"/>
      <c r="H98" s="221" t="n"/>
      <c r="I98" s="232">
        <f>IF(OR(C98="",G98=""),"",IF(ISNUMBER(SEARCH(TRIM(G98),INDEX('ผู้รับ-ส่ง'!$Q$9:$Q$13,C98))),"✓ มีสิทธิ์รับ","⚠ ไม่อยู่ในรายชื่อ"))</f>
        <v/>
      </c>
      <c r="J98" s="223" t="n"/>
      <c r="K98" s="223" t="n"/>
      <c r="L98" s="233">
        <f>IF(C98="","",IFERROR(INDEX('ผู้รับ-ส่ง'!$O$9:$O$13,C98)&amp;"",""))</f>
        <v/>
      </c>
    </row>
    <row r="99">
      <c r="A99" s="221" t="n"/>
      <c r="B99" s="221" t="n"/>
      <c r="C99" s="221" t="n"/>
      <c r="D99" s="230">
        <f>IF(C99="","",IFERROR(INDEX('ข้อมูลนักเรียน'!$T$9:$T$13,C99),"ไม่พบเลขที่"))</f>
        <v/>
      </c>
      <c r="E99" s="221" t="n"/>
      <c r="F99" s="231" t="n"/>
      <c r="G99" s="223" t="n"/>
      <c r="H99" s="221" t="n"/>
      <c r="I99" s="232">
        <f>IF(OR(C99="",G99=""),"",IF(ISNUMBER(SEARCH(TRIM(G99),INDEX('ผู้รับ-ส่ง'!$Q$9:$Q$13,C99))),"✓ มีสิทธิ์รับ","⚠ ไม่อยู่ในรายชื่อ"))</f>
        <v/>
      </c>
      <c r="J99" s="223" t="n"/>
      <c r="K99" s="223" t="n"/>
      <c r="L99" s="233">
        <f>IF(C99="","",IFERROR(INDEX('ผู้รับ-ส่ง'!$O$9:$O$13,C99)&amp;"",""))</f>
        <v/>
      </c>
    </row>
    <row r="100">
      <c r="A100" s="221" t="n"/>
      <c r="B100" s="221" t="n"/>
      <c r="C100" s="221" t="n"/>
      <c r="D100" s="230">
        <f>IF(C100="","",IFERROR(INDEX('ข้อมูลนักเรียน'!$T$9:$T$13,C100),"ไม่พบเลขที่"))</f>
        <v/>
      </c>
      <c r="E100" s="221" t="n"/>
      <c r="F100" s="231" t="n"/>
      <c r="G100" s="223" t="n"/>
      <c r="H100" s="221" t="n"/>
      <c r="I100" s="232">
        <f>IF(OR(C100="",G100=""),"",IF(ISNUMBER(SEARCH(TRIM(G100),INDEX('ผู้รับ-ส่ง'!$Q$9:$Q$13,C100))),"✓ มีสิทธิ์รับ","⚠ ไม่อยู่ในรายชื่อ"))</f>
        <v/>
      </c>
      <c r="J100" s="223" t="n"/>
      <c r="K100" s="223" t="n"/>
      <c r="L100" s="233">
        <f>IF(C100="","",IFERROR(INDEX('ผู้รับ-ส่ง'!$O$9:$O$13,C100)&amp;"",""))</f>
        <v/>
      </c>
    </row>
    <row r="101">
      <c r="A101" s="221" t="n"/>
      <c r="B101" s="221" t="n"/>
      <c r="C101" s="221" t="n"/>
      <c r="D101" s="230">
        <f>IF(C101="","",IFERROR(INDEX('ข้อมูลนักเรียน'!$T$9:$T$13,C101),"ไม่พบเลขที่"))</f>
        <v/>
      </c>
      <c r="E101" s="221" t="n"/>
      <c r="F101" s="231" t="n"/>
      <c r="G101" s="223" t="n"/>
      <c r="H101" s="221" t="n"/>
      <c r="I101" s="232">
        <f>IF(OR(C101="",G101=""),"",IF(ISNUMBER(SEARCH(TRIM(G101),INDEX('ผู้รับ-ส่ง'!$Q$9:$Q$13,C101))),"✓ มีสิทธิ์รับ","⚠ ไม่อยู่ในรายชื่อ"))</f>
        <v/>
      </c>
      <c r="J101" s="223" t="n"/>
      <c r="K101" s="223" t="n"/>
      <c r="L101" s="233">
        <f>IF(C101="","",IFERROR(INDEX('ผู้รับ-ส่ง'!$O$9:$O$13,C101)&amp;"",""))</f>
        <v/>
      </c>
    </row>
    <row r="102">
      <c r="A102" s="221" t="n"/>
      <c r="B102" s="221" t="n"/>
      <c r="C102" s="221" t="n"/>
      <c r="D102" s="230">
        <f>IF(C102="","",IFERROR(INDEX('ข้อมูลนักเรียน'!$T$9:$T$13,C102),"ไม่พบเลขที่"))</f>
        <v/>
      </c>
      <c r="E102" s="221" t="n"/>
      <c r="F102" s="231" t="n"/>
      <c r="G102" s="223" t="n"/>
      <c r="H102" s="221" t="n"/>
      <c r="I102" s="232">
        <f>IF(OR(C102="",G102=""),"",IF(ISNUMBER(SEARCH(TRIM(G102),INDEX('ผู้รับ-ส่ง'!$Q$9:$Q$13,C102))),"✓ มีสิทธิ์รับ","⚠ ไม่อยู่ในรายชื่อ"))</f>
        <v/>
      </c>
      <c r="J102" s="223" t="n"/>
      <c r="K102" s="223" t="n"/>
      <c r="L102" s="233">
        <f>IF(C102="","",IFERROR(INDEX('ผู้รับ-ส่ง'!$O$9:$O$13,C102)&amp;"",""))</f>
        <v/>
      </c>
    </row>
    <row r="103">
      <c r="A103" s="221" t="n"/>
      <c r="B103" s="221" t="n"/>
      <c r="C103" s="221" t="n"/>
      <c r="D103" s="230">
        <f>IF(C103="","",IFERROR(INDEX('ข้อมูลนักเรียน'!$T$9:$T$13,C103),"ไม่พบเลขที่"))</f>
        <v/>
      </c>
      <c r="E103" s="221" t="n"/>
      <c r="F103" s="231" t="n"/>
      <c r="G103" s="223" t="n"/>
      <c r="H103" s="221" t="n"/>
      <c r="I103" s="232">
        <f>IF(OR(C103="",G103=""),"",IF(ISNUMBER(SEARCH(TRIM(G103),INDEX('ผู้รับ-ส่ง'!$Q$9:$Q$13,C103))),"✓ มีสิทธิ์รับ","⚠ ไม่อยู่ในรายชื่อ"))</f>
        <v/>
      </c>
      <c r="J103" s="223" t="n"/>
      <c r="K103" s="223" t="n"/>
      <c r="L103" s="233">
        <f>IF(C103="","",IFERROR(INDEX('ผู้รับ-ส่ง'!$O$9:$O$13,C103)&amp;"",""))</f>
        <v/>
      </c>
    </row>
    <row r="104">
      <c r="A104" s="221" t="n"/>
      <c r="B104" s="221" t="n"/>
      <c r="C104" s="221" t="n"/>
      <c r="D104" s="230">
        <f>IF(C104="","",IFERROR(INDEX('ข้อมูลนักเรียน'!$T$9:$T$13,C104),"ไม่พบเลขที่"))</f>
        <v/>
      </c>
      <c r="E104" s="221" t="n"/>
      <c r="F104" s="231" t="n"/>
      <c r="G104" s="223" t="n"/>
      <c r="H104" s="221" t="n"/>
      <c r="I104" s="232">
        <f>IF(OR(C104="",G104=""),"",IF(ISNUMBER(SEARCH(TRIM(G104),INDEX('ผู้รับ-ส่ง'!$Q$9:$Q$13,C104))),"✓ มีสิทธิ์รับ","⚠ ไม่อยู่ในรายชื่อ"))</f>
        <v/>
      </c>
      <c r="J104" s="223" t="n"/>
      <c r="K104" s="223" t="n"/>
      <c r="L104" s="233">
        <f>IF(C104="","",IFERROR(INDEX('ผู้รับ-ส่ง'!$O$9:$O$13,C104)&amp;"",""))</f>
        <v/>
      </c>
    </row>
    <row r="105">
      <c r="A105" s="221" t="n"/>
      <c r="B105" s="221" t="n"/>
      <c r="C105" s="221" t="n"/>
      <c r="D105" s="230">
        <f>IF(C105="","",IFERROR(INDEX('ข้อมูลนักเรียน'!$T$9:$T$13,C105),"ไม่พบเลขที่"))</f>
        <v/>
      </c>
      <c r="E105" s="221" t="n"/>
      <c r="F105" s="231" t="n"/>
      <c r="G105" s="223" t="n"/>
      <c r="H105" s="221" t="n"/>
      <c r="I105" s="232">
        <f>IF(OR(C105="",G105=""),"",IF(ISNUMBER(SEARCH(TRIM(G105),INDEX('ผู้รับ-ส่ง'!$Q$9:$Q$13,C105))),"✓ มีสิทธิ์รับ","⚠ ไม่อยู่ในรายชื่อ"))</f>
        <v/>
      </c>
      <c r="J105" s="223" t="n"/>
      <c r="K105" s="223" t="n"/>
      <c r="L105" s="233">
        <f>IF(C105="","",IFERROR(INDEX('ผู้รับ-ส่ง'!$O$9:$O$13,C105)&amp;"",""))</f>
        <v/>
      </c>
    </row>
    <row r="106">
      <c r="A106" s="221" t="n"/>
      <c r="B106" s="221" t="n"/>
      <c r="C106" s="221" t="n"/>
      <c r="D106" s="230">
        <f>IF(C106="","",IFERROR(INDEX('ข้อมูลนักเรียน'!$T$9:$T$13,C106),"ไม่พบเลขที่"))</f>
        <v/>
      </c>
      <c r="E106" s="221" t="n"/>
      <c r="F106" s="231" t="n"/>
      <c r="G106" s="223" t="n"/>
      <c r="H106" s="221" t="n"/>
      <c r="I106" s="232">
        <f>IF(OR(C106="",G106=""),"",IF(ISNUMBER(SEARCH(TRIM(G106),INDEX('ผู้รับ-ส่ง'!$Q$9:$Q$13,C106))),"✓ มีสิทธิ์รับ","⚠ ไม่อยู่ในรายชื่อ"))</f>
        <v/>
      </c>
      <c r="J106" s="223" t="n"/>
      <c r="K106" s="223" t="n"/>
      <c r="L106" s="233">
        <f>IF(C106="","",IFERROR(INDEX('ผู้รับ-ส่ง'!$O$9:$O$13,C106)&amp;"",""))</f>
        <v/>
      </c>
    </row>
    <row r="107">
      <c r="A107" s="221" t="n"/>
      <c r="B107" s="221" t="n"/>
      <c r="C107" s="221" t="n"/>
      <c r="D107" s="230">
        <f>IF(C107="","",IFERROR(INDEX('ข้อมูลนักเรียน'!$T$9:$T$13,C107),"ไม่พบเลขที่"))</f>
        <v/>
      </c>
      <c r="E107" s="221" t="n"/>
      <c r="F107" s="231" t="n"/>
      <c r="G107" s="223" t="n"/>
      <c r="H107" s="221" t="n"/>
      <c r="I107" s="232">
        <f>IF(OR(C107="",G107=""),"",IF(ISNUMBER(SEARCH(TRIM(G107),INDEX('ผู้รับ-ส่ง'!$Q$9:$Q$13,C107))),"✓ มีสิทธิ์รับ","⚠ ไม่อยู่ในรายชื่อ"))</f>
        <v/>
      </c>
      <c r="J107" s="223" t="n"/>
      <c r="K107" s="223" t="n"/>
      <c r="L107" s="233">
        <f>IF(C107="","",IFERROR(INDEX('ผู้รับ-ส่ง'!$O$9:$O$13,C107)&amp;"",""))</f>
        <v/>
      </c>
    </row>
    <row r="108">
      <c r="A108" s="221" t="n"/>
      <c r="B108" s="221" t="n"/>
      <c r="C108" s="221" t="n"/>
      <c r="D108" s="230">
        <f>IF(C108="","",IFERROR(INDEX('ข้อมูลนักเรียน'!$T$9:$T$13,C108),"ไม่พบเลขที่"))</f>
        <v/>
      </c>
      <c r="E108" s="221" t="n"/>
      <c r="F108" s="231" t="n"/>
      <c r="G108" s="223" t="n"/>
      <c r="H108" s="221" t="n"/>
      <c r="I108" s="232">
        <f>IF(OR(C108="",G108=""),"",IF(ISNUMBER(SEARCH(TRIM(G108),INDEX('ผู้รับ-ส่ง'!$Q$9:$Q$13,C108))),"✓ มีสิทธิ์รับ","⚠ ไม่อยู่ในรายชื่อ"))</f>
        <v/>
      </c>
      <c r="J108" s="223" t="n"/>
      <c r="K108" s="223" t="n"/>
      <c r="L108" s="233">
        <f>IF(C108="","",IFERROR(INDEX('ผู้รับ-ส่ง'!$O$9:$O$13,C108)&amp;"",""))</f>
        <v/>
      </c>
    </row>
    <row r="109">
      <c r="A109" s="221" t="n"/>
      <c r="B109" s="221" t="n"/>
      <c r="C109" s="221" t="n"/>
      <c r="D109" s="230">
        <f>IF(C109="","",IFERROR(INDEX('ข้อมูลนักเรียน'!$T$9:$T$13,C109),"ไม่พบเลขที่"))</f>
        <v/>
      </c>
      <c r="E109" s="221" t="n"/>
      <c r="F109" s="231" t="n"/>
      <c r="G109" s="223" t="n"/>
      <c r="H109" s="221" t="n"/>
      <c r="I109" s="232">
        <f>IF(OR(C109="",G109=""),"",IF(ISNUMBER(SEARCH(TRIM(G109),INDEX('ผู้รับ-ส่ง'!$Q$9:$Q$13,C109))),"✓ มีสิทธิ์รับ","⚠ ไม่อยู่ในรายชื่อ"))</f>
        <v/>
      </c>
      <c r="J109" s="223" t="n"/>
      <c r="K109" s="223" t="n"/>
      <c r="L109" s="233">
        <f>IF(C109="","",IFERROR(INDEX('ผู้รับ-ส่ง'!$O$9:$O$13,C109)&amp;"",""))</f>
        <v/>
      </c>
    </row>
    <row r="110">
      <c r="A110" s="221" t="n"/>
      <c r="B110" s="221" t="n"/>
      <c r="C110" s="221" t="n"/>
      <c r="D110" s="230">
        <f>IF(C110="","",IFERROR(INDEX('ข้อมูลนักเรียน'!$T$9:$T$13,C110),"ไม่พบเลขที่"))</f>
        <v/>
      </c>
      <c r="E110" s="221" t="n"/>
      <c r="F110" s="231" t="n"/>
      <c r="G110" s="223" t="n"/>
      <c r="H110" s="221" t="n"/>
      <c r="I110" s="232">
        <f>IF(OR(C110="",G110=""),"",IF(ISNUMBER(SEARCH(TRIM(G110),INDEX('ผู้รับ-ส่ง'!$Q$9:$Q$13,C110))),"✓ มีสิทธิ์รับ","⚠ ไม่อยู่ในรายชื่อ"))</f>
        <v/>
      </c>
      <c r="J110" s="223" t="n"/>
      <c r="K110" s="223" t="n"/>
      <c r="L110" s="233">
        <f>IF(C110="","",IFERROR(INDEX('ผู้รับ-ส่ง'!$O$9:$O$13,C110)&amp;"",""))</f>
        <v/>
      </c>
    </row>
    <row r="111">
      <c r="A111" s="221" t="n"/>
      <c r="B111" s="221" t="n"/>
      <c r="C111" s="221" t="n"/>
      <c r="D111" s="230">
        <f>IF(C111="","",IFERROR(INDEX('ข้อมูลนักเรียน'!$T$9:$T$13,C111),"ไม่พบเลขที่"))</f>
        <v/>
      </c>
      <c r="E111" s="221" t="n"/>
      <c r="F111" s="231" t="n"/>
      <c r="G111" s="223" t="n"/>
      <c r="H111" s="221" t="n"/>
      <c r="I111" s="232">
        <f>IF(OR(C111="",G111=""),"",IF(ISNUMBER(SEARCH(TRIM(G111),INDEX('ผู้รับ-ส่ง'!$Q$9:$Q$13,C111))),"✓ มีสิทธิ์รับ","⚠ ไม่อยู่ในรายชื่อ"))</f>
        <v/>
      </c>
      <c r="J111" s="223" t="n"/>
      <c r="K111" s="223" t="n"/>
      <c r="L111" s="233">
        <f>IF(C111="","",IFERROR(INDEX('ผู้รับ-ส่ง'!$O$9:$O$13,C111)&amp;"",""))</f>
        <v/>
      </c>
    </row>
    <row r="112">
      <c r="A112" s="221" t="n"/>
      <c r="B112" s="221" t="n"/>
      <c r="C112" s="221" t="n"/>
      <c r="D112" s="230">
        <f>IF(C112="","",IFERROR(INDEX('ข้อมูลนักเรียน'!$T$9:$T$13,C112),"ไม่พบเลขที่"))</f>
        <v/>
      </c>
      <c r="E112" s="221" t="n"/>
      <c r="F112" s="231" t="n"/>
      <c r="G112" s="223" t="n"/>
      <c r="H112" s="221" t="n"/>
      <c r="I112" s="232">
        <f>IF(OR(C112="",G112=""),"",IF(ISNUMBER(SEARCH(TRIM(G112),INDEX('ผู้รับ-ส่ง'!$Q$9:$Q$13,C112))),"✓ มีสิทธิ์รับ","⚠ ไม่อยู่ในรายชื่อ"))</f>
        <v/>
      </c>
      <c r="J112" s="223" t="n"/>
      <c r="K112" s="223" t="n"/>
      <c r="L112" s="233">
        <f>IF(C112="","",IFERROR(INDEX('ผู้รับ-ส่ง'!$O$9:$O$13,C112)&amp;"",""))</f>
        <v/>
      </c>
    </row>
    <row r="113">
      <c r="A113" s="221" t="n"/>
      <c r="B113" s="221" t="n"/>
      <c r="C113" s="221" t="n"/>
      <c r="D113" s="230">
        <f>IF(C113="","",IFERROR(INDEX('ข้อมูลนักเรียน'!$T$9:$T$13,C113),"ไม่พบเลขที่"))</f>
        <v/>
      </c>
      <c r="E113" s="221" t="n"/>
      <c r="F113" s="231" t="n"/>
      <c r="G113" s="223" t="n"/>
      <c r="H113" s="221" t="n"/>
      <c r="I113" s="232">
        <f>IF(OR(C113="",G113=""),"",IF(ISNUMBER(SEARCH(TRIM(G113),INDEX('ผู้รับ-ส่ง'!$Q$9:$Q$13,C113))),"✓ มีสิทธิ์รับ","⚠ ไม่อยู่ในรายชื่อ"))</f>
        <v/>
      </c>
      <c r="J113" s="223" t="n"/>
      <c r="K113" s="223" t="n"/>
      <c r="L113" s="233">
        <f>IF(C113="","",IFERROR(INDEX('ผู้รับ-ส่ง'!$O$9:$O$13,C113)&amp;"",""))</f>
        <v/>
      </c>
    </row>
    <row r="114">
      <c r="A114" s="221" t="n"/>
      <c r="B114" s="221" t="n"/>
      <c r="C114" s="221" t="n"/>
      <c r="D114" s="230">
        <f>IF(C114="","",IFERROR(INDEX('ข้อมูลนักเรียน'!$T$9:$T$13,C114),"ไม่พบเลขที่"))</f>
        <v/>
      </c>
      <c r="E114" s="221" t="n"/>
      <c r="F114" s="231" t="n"/>
      <c r="G114" s="223" t="n"/>
      <c r="H114" s="221" t="n"/>
      <c r="I114" s="232">
        <f>IF(OR(C114="",G114=""),"",IF(ISNUMBER(SEARCH(TRIM(G114),INDEX('ผู้รับ-ส่ง'!$Q$9:$Q$13,C114))),"✓ มีสิทธิ์รับ","⚠ ไม่อยู่ในรายชื่อ"))</f>
        <v/>
      </c>
      <c r="J114" s="223" t="n"/>
      <c r="K114" s="223" t="n"/>
      <c r="L114" s="233">
        <f>IF(C114="","",IFERROR(INDEX('ผู้รับ-ส่ง'!$O$9:$O$13,C114)&amp;"",""))</f>
        <v/>
      </c>
    </row>
    <row r="115">
      <c r="A115" s="221" t="n"/>
      <c r="B115" s="221" t="n"/>
      <c r="C115" s="221" t="n"/>
      <c r="D115" s="230">
        <f>IF(C115="","",IFERROR(INDEX('ข้อมูลนักเรียน'!$T$9:$T$13,C115),"ไม่พบเลขที่"))</f>
        <v/>
      </c>
      <c r="E115" s="221" t="n"/>
      <c r="F115" s="231" t="n"/>
      <c r="G115" s="223" t="n"/>
      <c r="H115" s="221" t="n"/>
      <c r="I115" s="232">
        <f>IF(OR(C115="",G115=""),"",IF(ISNUMBER(SEARCH(TRIM(G115),INDEX('ผู้รับ-ส่ง'!$Q$9:$Q$13,C115))),"✓ มีสิทธิ์รับ","⚠ ไม่อยู่ในรายชื่อ"))</f>
        <v/>
      </c>
      <c r="J115" s="223" t="n"/>
      <c r="K115" s="223" t="n"/>
      <c r="L115" s="233">
        <f>IF(C115="","",IFERROR(INDEX('ผู้รับ-ส่ง'!$O$9:$O$13,C115)&amp;"",""))</f>
        <v/>
      </c>
    </row>
    <row r="116">
      <c r="A116" s="221" t="n"/>
      <c r="B116" s="221" t="n"/>
      <c r="C116" s="221" t="n"/>
      <c r="D116" s="230">
        <f>IF(C116="","",IFERROR(INDEX('ข้อมูลนักเรียน'!$T$9:$T$13,C116),"ไม่พบเลขที่"))</f>
        <v/>
      </c>
      <c r="E116" s="221" t="n"/>
      <c r="F116" s="231" t="n"/>
      <c r="G116" s="223" t="n"/>
      <c r="H116" s="221" t="n"/>
      <c r="I116" s="232">
        <f>IF(OR(C116="",G116=""),"",IF(ISNUMBER(SEARCH(TRIM(G116),INDEX('ผู้รับ-ส่ง'!$Q$9:$Q$13,C116))),"✓ มีสิทธิ์รับ","⚠ ไม่อยู่ในรายชื่อ"))</f>
        <v/>
      </c>
      <c r="J116" s="223" t="n"/>
      <c r="K116" s="223" t="n"/>
      <c r="L116" s="233">
        <f>IF(C116="","",IFERROR(INDEX('ผู้รับ-ส่ง'!$O$9:$O$13,C116)&amp;"",""))</f>
        <v/>
      </c>
    </row>
    <row r="117">
      <c r="A117" s="221" t="n"/>
      <c r="B117" s="221" t="n"/>
      <c r="C117" s="221" t="n"/>
      <c r="D117" s="230">
        <f>IF(C117="","",IFERROR(INDEX('ข้อมูลนักเรียน'!$T$9:$T$13,C117),"ไม่พบเลขที่"))</f>
        <v/>
      </c>
      <c r="E117" s="221" t="n"/>
      <c r="F117" s="231" t="n"/>
      <c r="G117" s="223" t="n"/>
      <c r="H117" s="221" t="n"/>
      <c r="I117" s="232">
        <f>IF(OR(C117="",G117=""),"",IF(ISNUMBER(SEARCH(TRIM(G117),INDEX('ผู้รับ-ส่ง'!$Q$9:$Q$13,C117))),"✓ มีสิทธิ์รับ","⚠ ไม่อยู่ในรายชื่อ"))</f>
        <v/>
      </c>
      <c r="J117" s="223" t="n"/>
      <c r="K117" s="223" t="n"/>
      <c r="L117" s="233">
        <f>IF(C117="","",IFERROR(INDEX('ผู้รับ-ส่ง'!$O$9:$O$13,C117)&amp;"",""))</f>
        <v/>
      </c>
    </row>
    <row r="118">
      <c r="A118" s="221" t="n"/>
      <c r="B118" s="221" t="n"/>
      <c r="C118" s="221" t="n"/>
      <c r="D118" s="230">
        <f>IF(C118="","",IFERROR(INDEX('ข้อมูลนักเรียน'!$T$9:$T$13,C118),"ไม่พบเลขที่"))</f>
        <v/>
      </c>
      <c r="E118" s="221" t="n"/>
      <c r="F118" s="231" t="n"/>
      <c r="G118" s="223" t="n"/>
      <c r="H118" s="221" t="n"/>
      <c r="I118" s="232">
        <f>IF(OR(C118="",G118=""),"",IF(ISNUMBER(SEARCH(TRIM(G118),INDEX('ผู้รับ-ส่ง'!$Q$9:$Q$13,C118))),"✓ มีสิทธิ์รับ","⚠ ไม่อยู่ในรายชื่อ"))</f>
        <v/>
      </c>
      <c r="J118" s="223" t="n"/>
      <c r="K118" s="223" t="n"/>
      <c r="L118" s="233">
        <f>IF(C118="","",IFERROR(INDEX('ผู้รับ-ส่ง'!$O$9:$O$13,C118)&amp;"",""))</f>
        <v/>
      </c>
    </row>
    <row r="119">
      <c r="A119" s="221" t="n"/>
      <c r="B119" s="221" t="n"/>
      <c r="C119" s="221" t="n"/>
      <c r="D119" s="230">
        <f>IF(C119="","",IFERROR(INDEX('ข้อมูลนักเรียน'!$T$9:$T$13,C119),"ไม่พบเลขที่"))</f>
        <v/>
      </c>
      <c r="E119" s="221" t="n"/>
      <c r="F119" s="231" t="n"/>
      <c r="G119" s="223" t="n"/>
      <c r="H119" s="221" t="n"/>
      <c r="I119" s="232">
        <f>IF(OR(C119="",G119=""),"",IF(ISNUMBER(SEARCH(TRIM(G119),INDEX('ผู้รับ-ส่ง'!$Q$9:$Q$13,C119))),"✓ มีสิทธิ์รับ","⚠ ไม่อยู่ในรายชื่อ"))</f>
        <v/>
      </c>
      <c r="J119" s="223" t="n"/>
      <c r="K119" s="223" t="n"/>
      <c r="L119" s="233">
        <f>IF(C119="","",IFERROR(INDEX('ผู้รับ-ส่ง'!$O$9:$O$13,C119)&amp;"",""))</f>
        <v/>
      </c>
    </row>
    <row r="120">
      <c r="A120" s="221" t="n"/>
      <c r="B120" s="221" t="n"/>
      <c r="C120" s="221" t="n"/>
      <c r="D120" s="230">
        <f>IF(C120="","",IFERROR(INDEX('ข้อมูลนักเรียน'!$T$9:$T$13,C120),"ไม่พบเลขที่"))</f>
        <v/>
      </c>
      <c r="E120" s="221" t="n"/>
      <c r="F120" s="231" t="n"/>
      <c r="G120" s="223" t="n"/>
      <c r="H120" s="221" t="n"/>
      <c r="I120" s="232">
        <f>IF(OR(C120="",G120=""),"",IF(ISNUMBER(SEARCH(TRIM(G120),INDEX('ผู้รับ-ส่ง'!$Q$9:$Q$13,C120))),"✓ มีสิทธิ์รับ","⚠ ไม่อยู่ในรายชื่อ"))</f>
        <v/>
      </c>
      <c r="J120" s="223" t="n"/>
      <c r="K120" s="223" t="n"/>
      <c r="L120" s="233">
        <f>IF(C120="","",IFERROR(INDEX('ผู้รับ-ส่ง'!$O$9:$O$13,C120)&amp;"",""))</f>
        <v/>
      </c>
    </row>
    <row r="121">
      <c r="A121" s="221" t="n"/>
      <c r="B121" s="221" t="n"/>
      <c r="C121" s="221" t="n"/>
      <c r="D121" s="230">
        <f>IF(C121="","",IFERROR(INDEX('ข้อมูลนักเรียน'!$T$9:$T$13,C121),"ไม่พบเลขที่"))</f>
        <v/>
      </c>
      <c r="E121" s="221" t="n"/>
      <c r="F121" s="231" t="n"/>
      <c r="G121" s="223" t="n"/>
      <c r="H121" s="221" t="n"/>
      <c r="I121" s="232">
        <f>IF(OR(C121="",G121=""),"",IF(ISNUMBER(SEARCH(TRIM(G121),INDEX('ผู้รับ-ส่ง'!$Q$9:$Q$13,C121))),"✓ มีสิทธิ์รับ","⚠ ไม่อยู่ในรายชื่อ"))</f>
        <v/>
      </c>
      <c r="J121" s="223" t="n"/>
      <c r="K121" s="223" t="n"/>
      <c r="L121" s="233">
        <f>IF(C121="","",IFERROR(INDEX('ผู้รับ-ส่ง'!$O$9:$O$13,C121)&amp;"",""))</f>
        <v/>
      </c>
    </row>
    <row r="122">
      <c r="A122" s="221" t="n"/>
      <c r="B122" s="221" t="n"/>
      <c r="C122" s="221" t="n"/>
      <c r="D122" s="230">
        <f>IF(C122="","",IFERROR(INDEX('ข้อมูลนักเรียน'!$T$9:$T$13,C122),"ไม่พบเลขที่"))</f>
        <v/>
      </c>
      <c r="E122" s="221" t="n"/>
      <c r="F122" s="231" t="n"/>
      <c r="G122" s="223" t="n"/>
      <c r="H122" s="221" t="n"/>
      <c r="I122" s="232">
        <f>IF(OR(C122="",G122=""),"",IF(ISNUMBER(SEARCH(TRIM(G122),INDEX('ผู้รับ-ส่ง'!$Q$9:$Q$13,C122))),"✓ มีสิทธิ์รับ","⚠ ไม่อยู่ในรายชื่อ"))</f>
        <v/>
      </c>
      <c r="J122" s="223" t="n"/>
      <c r="K122" s="223" t="n"/>
      <c r="L122" s="233">
        <f>IF(C122="","",IFERROR(INDEX('ผู้รับ-ส่ง'!$O$9:$O$13,C122)&amp;"",""))</f>
        <v/>
      </c>
    </row>
    <row r="123">
      <c r="A123" s="221" t="n"/>
      <c r="B123" s="221" t="n"/>
      <c r="C123" s="221" t="n"/>
      <c r="D123" s="230">
        <f>IF(C123="","",IFERROR(INDEX('ข้อมูลนักเรียน'!$T$9:$T$13,C123),"ไม่พบเลขที่"))</f>
        <v/>
      </c>
      <c r="E123" s="221" t="n"/>
      <c r="F123" s="231" t="n"/>
      <c r="G123" s="223" t="n"/>
      <c r="H123" s="221" t="n"/>
      <c r="I123" s="232">
        <f>IF(OR(C123="",G123=""),"",IF(ISNUMBER(SEARCH(TRIM(G123),INDEX('ผู้รับ-ส่ง'!$Q$9:$Q$13,C123))),"✓ มีสิทธิ์รับ","⚠ ไม่อยู่ในรายชื่อ"))</f>
        <v/>
      </c>
      <c r="J123" s="223" t="n"/>
      <c r="K123" s="223" t="n"/>
      <c r="L123" s="233">
        <f>IF(C123="","",IFERROR(INDEX('ผู้รับ-ส่ง'!$O$9:$O$13,C123)&amp;"",""))</f>
        <v/>
      </c>
    </row>
    <row r="124">
      <c r="A124" s="221" t="n"/>
      <c r="B124" s="221" t="n"/>
      <c r="C124" s="221" t="n"/>
      <c r="D124" s="230">
        <f>IF(C124="","",IFERROR(INDEX('ข้อมูลนักเรียน'!$T$9:$T$13,C124),"ไม่พบเลขที่"))</f>
        <v/>
      </c>
      <c r="E124" s="221" t="n"/>
      <c r="F124" s="231" t="n"/>
      <c r="G124" s="223" t="n"/>
      <c r="H124" s="221" t="n"/>
      <c r="I124" s="232">
        <f>IF(OR(C124="",G124=""),"",IF(ISNUMBER(SEARCH(TRIM(G124),INDEX('ผู้รับ-ส่ง'!$Q$9:$Q$13,C124))),"✓ มีสิทธิ์รับ","⚠ ไม่อยู่ในรายชื่อ"))</f>
        <v/>
      </c>
      <c r="J124" s="223" t="n"/>
      <c r="K124" s="223" t="n"/>
      <c r="L124" s="233">
        <f>IF(C124="","",IFERROR(INDEX('ผู้รับ-ส่ง'!$O$9:$O$13,C124)&amp;"",""))</f>
        <v/>
      </c>
    </row>
    <row r="125">
      <c r="A125" s="221" t="n"/>
      <c r="B125" s="221" t="n"/>
      <c r="C125" s="221" t="n"/>
      <c r="D125" s="230">
        <f>IF(C125="","",IFERROR(INDEX('ข้อมูลนักเรียน'!$T$9:$T$13,C125),"ไม่พบเลขที่"))</f>
        <v/>
      </c>
      <c r="E125" s="221" t="n"/>
      <c r="F125" s="231" t="n"/>
      <c r="G125" s="223" t="n"/>
      <c r="H125" s="221" t="n"/>
      <c r="I125" s="232">
        <f>IF(OR(C125="",G125=""),"",IF(ISNUMBER(SEARCH(TRIM(G125),INDEX('ผู้รับ-ส่ง'!$Q$9:$Q$13,C125))),"✓ มีสิทธิ์รับ","⚠ ไม่อยู่ในรายชื่อ"))</f>
        <v/>
      </c>
      <c r="J125" s="223" t="n"/>
      <c r="K125" s="223" t="n"/>
      <c r="L125" s="233">
        <f>IF(C125="","",IFERROR(INDEX('ผู้รับ-ส่ง'!$O$9:$O$13,C125)&amp;"",""))</f>
        <v/>
      </c>
    </row>
    <row r="126">
      <c r="A126" s="221" t="n"/>
      <c r="B126" s="221" t="n"/>
      <c r="C126" s="221" t="n"/>
      <c r="D126" s="230">
        <f>IF(C126="","",IFERROR(INDEX('ข้อมูลนักเรียน'!$T$9:$T$13,C126),"ไม่พบเลขที่"))</f>
        <v/>
      </c>
      <c r="E126" s="221" t="n"/>
      <c r="F126" s="231" t="n"/>
      <c r="G126" s="223" t="n"/>
      <c r="H126" s="221" t="n"/>
      <c r="I126" s="232">
        <f>IF(OR(C126="",G126=""),"",IF(ISNUMBER(SEARCH(TRIM(G126),INDEX('ผู้รับ-ส่ง'!$Q$9:$Q$13,C126))),"✓ มีสิทธิ์รับ","⚠ ไม่อยู่ในรายชื่อ"))</f>
        <v/>
      </c>
      <c r="J126" s="223" t="n"/>
      <c r="K126" s="223" t="n"/>
      <c r="L126" s="233">
        <f>IF(C126="","",IFERROR(INDEX('ผู้รับ-ส่ง'!$O$9:$O$13,C126)&amp;"",""))</f>
        <v/>
      </c>
    </row>
    <row r="127">
      <c r="A127" s="221" t="n"/>
      <c r="B127" s="221" t="n"/>
      <c r="C127" s="221" t="n"/>
      <c r="D127" s="230">
        <f>IF(C127="","",IFERROR(INDEX('ข้อมูลนักเรียน'!$T$9:$T$13,C127),"ไม่พบเลขที่"))</f>
        <v/>
      </c>
      <c r="E127" s="221" t="n"/>
      <c r="F127" s="231" t="n"/>
      <c r="G127" s="223" t="n"/>
      <c r="H127" s="221" t="n"/>
      <c r="I127" s="232">
        <f>IF(OR(C127="",G127=""),"",IF(ISNUMBER(SEARCH(TRIM(G127),INDEX('ผู้รับ-ส่ง'!$Q$9:$Q$13,C127))),"✓ มีสิทธิ์รับ","⚠ ไม่อยู่ในรายชื่อ"))</f>
        <v/>
      </c>
      <c r="J127" s="223" t="n"/>
      <c r="K127" s="223" t="n"/>
      <c r="L127" s="233">
        <f>IF(C127="","",IFERROR(INDEX('ผู้รับ-ส่ง'!$O$9:$O$13,C127)&amp;"",""))</f>
        <v/>
      </c>
    </row>
    <row r="128">
      <c r="A128" s="221" t="n"/>
      <c r="B128" s="221" t="n"/>
      <c r="C128" s="221" t="n"/>
      <c r="D128" s="230">
        <f>IF(C128="","",IFERROR(INDEX('ข้อมูลนักเรียน'!$T$9:$T$13,C128),"ไม่พบเลขที่"))</f>
        <v/>
      </c>
      <c r="E128" s="221" t="n"/>
      <c r="F128" s="231" t="n"/>
      <c r="G128" s="223" t="n"/>
      <c r="H128" s="221" t="n"/>
      <c r="I128" s="232">
        <f>IF(OR(C128="",G128=""),"",IF(ISNUMBER(SEARCH(TRIM(G128),INDEX('ผู้รับ-ส่ง'!$Q$9:$Q$13,C128))),"✓ มีสิทธิ์รับ","⚠ ไม่อยู่ในรายชื่อ"))</f>
        <v/>
      </c>
      <c r="J128" s="223" t="n"/>
      <c r="K128" s="223" t="n"/>
      <c r="L128" s="233">
        <f>IF(C128="","",IFERROR(INDEX('ผู้รับ-ส่ง'!$O$9:$O$13,C128)&amp;"",""))</f>
        <v/>
      </c>
    </row>
    <row r="129">
      <c r="A129" s="221" t="n"/>
      <c r="B129" s="221" t="n"/>
      <c r="C129" s="221" t="n"/>
      <c r="D129" s="230">
        <f>IF(C129="","",IFERROR(INDEX('ข้อมูลนักเรียน'!$T$9:$T$13,C129),"ไม่พบเลขที่"))</f>
        <v/>
      </c>
      <c r="E129" s="221" t="n"/>
      <c r="F129" s="231" t="n"/>
      <c r="G129" s="223" t="n"/>
      <c r="H129" s="221" t="n"/>
      <c r="I129" s="232">
        <f>IF(OR(C129="",G129=""),"",IF(ISNUMBER(SEARCH(TRIM(G129),INDEX('ผู้รับ-ส่ง'!$Q$9:$Q$13,C129))),"✓ มีสิทธิ์รับ","⚠ ไม่อยู่ในรายชื่อ"))</f>
        <v/>
      </c>
      <c r="J129" s="223" t="n"/>
      <c r="K129" s="223" t="n"/>
      <c r="L129" s="233">
        <f>IF(C129="","",IFERROR(INDEX('ผู้รับ-ส่ง'!$O$9:$O$13,C129)&amp;"",""))</f>
        <v/>
      </c>
    </row>
    <row r="130">
      <c r="A130" s="221" t="n"/>
      <c r="B130" s="221" t="n"/>
      <c r="C130" s="221" t="n"/>
      <c r="D130" s="230">
        <f>IF(C130="","",IFERROR(INDEX('ข้อมูลนักเรียน'!$T$9:$T$13,C130),"ไม่พบเลขที่"))</f>
        <v/>
      </c>
      <c r="E130" s="221" t="n"/>
      <c r="F130" s="231" t="n"/>
      <c r="G130" s="223" t="n"/>
      <c r="H130" s="221" t="n"/>
      <c r="I130" s="232">
        <f>IF(OR(C130="",G130=""),"",IF(ISNUMBER(SEARCH(TRIM(G130),INDEX('ผู้รับ-ส่ง'!$Q$9:$Q$13,C130))),"✓ มีสิทธิ์รับ","⚠ ไม่อยู่ในรายชื่อ"))</f>
        <v/>
      </c>
      <c r="J130" s="223" t="n"/>
      <c r="K130" s="223" t="n"/>
      <c r="L130" s="233">
        <f>IF(C130="","",IFERROR(INDEX('ผู้รับ-ส่ง'!$O$9:$O$13,C130)&amp;"",""))</f>
        <v/>
      </c>
    </row>
    <row r="131">
      <c r="A131" s="221" t="n"/>
      <c r="B131" s="221" t="n"/>
      <c r="C131" s="221" t="n"/>
      <c r="D131" s="230">
        <f>IF(C131="","",IFERROR(INDEX('ข้อมูลนักเรียน'!$T$9:$T$13,C131),"ไม่พบเลขที่"))</f>
        <v/>
      </c>
      <c r="E131" s="221" t="n"/>
      <c r="F131" s="231" t="n"/>
      <c r="G131" s="223" t="n"/>
      <c r="H131" s="221" t="n"/>
      <c r="I131" s="232">
        <f>IF(OR(C131="",G131=""),"",IF(ISNUMBER(SEARCH(TRIM(G131),INDEX('ผู้รับ-ส่ง'!$Q$9:$Q$13,C131))),"✓ มีสิทธิ์รับ","⚠ ไม่อยู่ในรายชื่อ"))</f>
        <v/>
      </c>
      <c r="J131" s="223" t="n"/>
      <c r="K131" s="223" t="n"/>
      <c r="L131" s="233">
        <f>IF(C131="","",IFERROR(INDEX('ผู้รับ-ส่ง'!$O$9:$O$13,C131)&amp;"",""))</f>
        <v/>
      </c>
    </row>
    <row r="132">
      <c r="A132" s="221" t="n"/>
      <c r="B132" s="221" t="n"/>
      <c r="C132" s="221" t="n"/>
      <c r="D132" s="230">
        <f>IF(C132="","",IFERROR(INDEX('ข้อมูลนักเรียน'!$T$9:$T$13,C132),"ไม่พบเลขที่"))</f>
        <v/>
      </c>
      <c r="E132" s="221" t="n"/>
      <c r="F132" s="231" t="n"/>
      <c r="G132" s="223" t="n"/>
      <c r="H132" s="221" t="n"/>
      <c r="I132" s="232">
        <f>IF(OR(C132="",G132=""),"",IF(ISNUMBER(SEARCH(TRIM(G132),INDEX('ผู้รับ-ส่ง'!$Q$9:$Q$13,C132))),"✓ มีสิทธิ์รับ","⚠ ไม่อยู่ในรายชื่อ"))</f>
        <v/>
      </c>
      <c r="J132" s="223" t="n"/>
      <c r="K132" s="223" t="n"/>
      <c r="L132" s="233">
        <f>IF(C132="","",IFERROR(INDEX('ผู้รับ-ส่ง'!$O$9:$O$13,C132)&amp;"",""))</f>
        <v/>
      </c>
    </row>
    <row r="133">
      <c r="A133" s="221" t="n"/>
      <c r="B133" s="221" t="n"/>
      <c r="C133" s="221" t="n"/>
      <c r="D133" s="230">
        <f>IF(C133="","",IFERROR(INDEX('ข้อมูลนักเรียน'!$T$9:$T$13,C133),"ไม่พบเลขที่"))</f>
        <v/>
      </c>
      <c r="E133" s="221" t="n"/>
      <c r="F133" s="231" t="n"/>
      <c r="G133" s="223" t="n"/>
      <c r="H133" s="221" t="n"/>
      <c r="I133" s="232">
        <f>IF(OR(C133="",G133=""),"",IF(ISNUMBER(SEARCH(TRIM(G133),INDEX('ผู้รับ-ส่ง'!$Q$9:$Q$13,C133))),"✓ มีสิทธิ์รับ","⚠ ไม่อยู่ในรายชื่อ"))</f>
        <v/>
      </c>
      <c r="J133" s="223" t="n"/>
      <c r="K133" s="223" t="n"/>
      <c r="L133" s="233">
        <f>IF(C133="","",IFERROR(INDEX('ผู้รับ-ส่ง'!$O$9:$O$13,C133)&amp;"",""))</f>
        <v/>
      </c>
    </row>
    <row r="134">
      <c r="A134" s="221" t="n"/>
      <c r="B134" s="221" t="n"/>
      <c r="C134" s="221" t="n"/>
      <c r="D134" s="230">
        <f>IF(C134="","",IFERROR(INDEX('ข้อมูลนักเรียน'!$T$9:$T$13,C134),"ไม่พบเลขที่"))</f>
        <v/>
      </c>
      <c r="E134" s="221" t="n"/>
      <c r="F134" s="231" t="n"/>
      <c r="G134" s="223" t="n"/>
      <c r="H134" s="221" t="n"/>
      <c r="I134" s="232">
        <f>IF(OR(C134="",G134=""),"",IF(ISNUMBER(SEARCH(TRIM(G134),INDEX('ผู้รับ-ส่ง'!$Q$9:$Q$13,C134))),"✓ มีสิทธิ์รับ","⚠ ไม่อยู่ในรายชื่อ"))</f>
        <v/>
      </c>
      <c r="J134" s="223" t="n"/>
      <c r="K134" s="223" t="n"/>
      <c r="L134" s="233">
        <f>IF(C134="","",IFERROR(INDEX('ผู้รับ-ส่ง'!$O$9:$O$13,C134)&amp;"",""))</f>
        <v/>
      </c>
    </row>
    <row r="135">
      <c r="A135" s="221" t="n"/>
      <c r="B135" s="221" t="n"/>
      <c r="C135" s="221" t="n"/>
      <c r="D135" s="230">
        <f>IF(C135="","",IFERROR(INDEX('ข้อมูลนักเรียน'!$T$9:$T$13,C135),"ไม่พบเลขที่"))</f>
        <v/>
      </c>
      <c r="E135" s="221" t="n"/>
      <c r="F135" s="231" t="n"/>
      <c r="G135" s="223" t="n"/>
      <c r="H135" s="221" t="n"/>
      <c r="I135" s="232">
        <f>IF(OR(C135="",G135=""),"",IF(ISNUMBER(SEARCH(TRIM(G135),INDEX('ผู้รับ-ส่ง'!$Q$9:$Q$13,C135))),"✓ มีสิทธิ์รับ","⚠ ไม่อยู่ในรายชื่อ"))</f>
        <v/>
      </c>
      <c r="J135" s="223" t="n"/>
      <c r="K135" s="223" t="n"/>
      <c r="L135" s="233">
        <f>IF(C135="","",IFERROR(INDEX('ผู้รับ-ส่ง'!$O$9:$O$13,C135)&amp;"",""))</f>
        <v/>
      </c>
    </row>
    <row r="136">
      <c r="A136" s="221" t="n"/>
      <c r="B136" s="221" t="n"/>
      <c r="C136" s="221" t="n"/>
      <c r="D136" s="230">
        <f>IF(C136="","",IFERROR(INDEX('ข้อมูลนักเรียน'!$T$9:$T$13,C136),"ไม่พบเลขที่"))</f>
        <v/>
      </c>
      <c r="E136" s="221" t="n"/>
      <c r="F136" s="231" t="n"/>
      <c r="G136" s="223" t="n"/>
      <c r="H136" s="221" t="n"/>
      <c r="I136" s="232">
        <f>IF(OR(C136="",G136=""),"",IF(ISNUMBER(SEARCH(TRIM(G136),INDEX('ผู้รับ-ส่ง'!$Q$9:$Q$13,C136))),"✓ มีสิทธิ์รับ","⚠ ไม่อยู่ในรายชื่อ"))</f>
        <v/>
      </c>
      <c r="J136" s="223" t="n"/>
      <c r="K136" s="223" t="n"/>
      <c r="L136" s="233">
        <f>IF(C136="","",IFERROR(INDEX('ผู้รับ-ส่ง'!$O$9:$O$13,C136)&amp;"",""))</f>
        <v/>
      </c>
    </row>
    <row r="137">
      <c r="A137" s="221" t="n"/>
      <c r="B137" s="221" t="n"/>
      <c r="C137" s="221" t="n"/>
      <c r="D137" s="230">
        <f>IF(C137="","",IFERROR(INDEX('ข้อมูลนักเรียน'!$T$9:$T$13,C137),"ไม่พบเลขที่"))</f>
        <v/>
      </c>
      <c r="E137" s="221" t="n"/>
      <c r="F137" s="231" t="n"/>
      <c r="G137" s="223" t="n"/>
      <c r="H137" s="221" t="n"/>
      <c r="I137" s="232">
        <f>IF(OR(C137="",G137=""),"",IF(ISNUMBER(SEARCH(TRIM(G137),INDEX('ผู้รับ-ส่ง'!$Q$9:$Q$13,C137))),"✓ มีสิทธิ์รับ","⚠ ไม่อยู่ในรายชื่อ"))</f>
        <v/>
      </c>
      <c r="J137" s="223" t="n"/>
      <c r="K137" s="223" t="n"/>
      <c r="L137" s="233">
        <f>IF(C137="","",IFERROR(INDEX('ผู้รับ-ส่ง'!$O$9:$O$13,C137)&amp;"",""))</f>
        <v/>
      </c>
    </row>
    <row r="138">
      <c r="A138" s="221" t="n"/>
      <c r="B138" s="221" t="n"/>
      <c r="C138" s="221" t="n"/>
      <c r="D138" s="230">
        <f>IF(C138="","",IFERROR(INDEX('ข้อมูลนักเรียน'!$T$9:$T$13,C138),"ไม่พบเลขที่"))</f>
        <v/>
      </c>
      <c r="E138" s="221" t="n"/>
      <c r="F138" s="231" t="n"/>
      <c r="G138" s="223" t="n"/>
      <c r="H138" s="221" t="n"/>
      <c r="I138" s="232">
        <f>IF(OR(C138="",G138=""),"",IF(ISNUMBER(SEARCH(TRIM(G138),INDEX('ผู้รับ-ส่ง'!$Q$9:$Q$13,C138))),"✓ มีสิทธิ์รับ","⚠ ไม่อยู่ในรายชื่อ"))</f>
        <v/>
      </c>
      <c r="J138" s="223" t="n"/>
      <c r="K138" s="223" t="n"/>
      <c r="L138" s="233">
        <f>IF(C138="","",IFERROR(INDEX('ผู้รับ-ส่ง'!$O$9:$O$13,C138)&amp;"",""))</f>
        <v/>
      </c>
    </row>
    <row r="139">
      <c r="A139" s="221" t="n"/>
      <c r="B139" s="221" t="n"/>
      <c r="C139" s="221" t="n"/>
      <c r="D139" s="230">
        <f>IF(C139="","",IFERROR(INDEX('ข้อมูลนักเรียน'!$T$9:$T$13,C139),"ไม่พบเลขที่"))</f>
        <v/>
      </c>
      <c r="E139" s="221" t="n"/>
      <c r="F139" s="231" t="n"/>
      <c r="G139" s="223" t="n"/>
      <c r="H139" s="221" t="n"/>
      <c r="I139" s="232">
        <f>IF(OR(C139="",G139=""),"",IF(ISNUMBER(SEARCH(TRIM(G139),INDEX('ผู้รับ-ส่ง'!$Q$9:$Q$13,C139))),"✓ มีสิทธิ์รับ","⚠ ไม่อยู่ในรายชื่อ"))</f>
        <v/>
      </c>
      <c r="J139" s="223" t="n"/>
      <c r="K139" s="223" t="n"/>
      <c r="L139" s="233">
        <f>IF(C139="","",IFERROR(INDEX('ผู้รับ-ส่ง'!$O$9:$O$13,C139)&amp;"",""))</f>
        <v/>
      </c>
    </row>
    <row r="140">
      <c r="A140" s="221" t="n"/>
      <c r="B140" s="221" t="n"/>
      <c r="C140" s="221" t="n"/>
      <c r="D140" s="230">
        <f>IF(C140="","",IFERROR(INDEX('ข้อมูลนักเรียน'!$T$9:$T$13,C140),"ไม่พบเลขที่"))</f>
        <v/>
      </c>
      <c r="E140" s="221" t="n"/>
      <c r="F140" s="231" t="n"/>
      <c r="G140" s="223" t="n"/>
      <c r="H140" s="221" t="n"/>
      <c r="I140" s="232">
        <f>IF(OR(C140="",G140=""),"",IF(ISNUMBER(SEARCH(TRIM(G140),INDEX('ผู้รับ-ส่ง'!$Q$9:$Q$13,C140))),"✓ มีสิทธิ์รับ","⚠ ไม่อยู่ในรายชื่อ"))</f>
        <v/>
      </c>
      <c r="J140" s="223" t="n"/>
      <c r="K140" s="223" t="n"/>
      <c r="L140" s="233">
        <f>IF(C140="","",IFERROR(INDEX('ผู้รับ-ส่ง'!$O$9:$O$13,C140)&amp;"",""))</f>
        <v/>
      </c>
    </row>
    <row r="141">
      <c r="A141" s="221" t="n"/>
      <c r="B141" s="221" t="n"/>
      <c r="C141" s="221" t="n"/>
      <c r="D141" s="230">
        <f>IF(C141="","",IFERROR(INDEX('ข้อมูลนักเรียน'!$T$9:$T$13,C141),"ไม่พบเลขที่"))</f>
        <v/>
      </c>
      <c r="E141" s="221" t="n"/>
      <c r="F141" s="231" t="n"/>
      <c r="G141" s="223" t="n"/>
      <c r="H141" s="221" t="n"/>
      <c r="I141" s="232">
        <f>IF(OR(C141="",G141=""),"",IF(ISNUMBER(SEARCH(TRIM(G141),INDEX('ผู้รับ-ส่ง'!$Q$9:$Q$13,C141))),"✓ มีสิทธิ์รับ","⚠ ไม่อยู่ในรายชื่อ"))</f>
        <v/>
      </c>
      <c r="J141" s="223" t="n"/>
      <c r="K141" s="223" t="n"/>
      <c r="L141" s="233">
        <f>IF(C141="","",IFERROR(INDEX('ผู้รับ-ส่ง'!$O$9:$O$13,C141)&amp;"",""))</f>
        <v/>
      </c>
    </row>
    <row r="142">
      <c r="A142" s="221" t="n"/>
      <c r="B142" s="221" t="n"/>
      <c r="C142" s="221" t="n"/>
      <c r="D142" s="230">
        <f>IF(C142="","",IFERROR(INDEX('ข้อมูลนักเรียน'!$T$9:$T$13,C142),"ไม่พบเลขที่"))</f>
        <v/>
      </c>
      <c r="E142" s="221" t="n"/>
      <c r="F142" s="231" t="n"/>
      <c r="G142" s="223" t="n"/>
      <c r="H142" s="221" t="n"/>
      <c r="I142" s="232">
        <f>IF(OR(C142="",G142=""),"",IF(ISNUMBER(SEARCH(TRIM(G142),INDEX('ผู้รับ-ส่ง'!$Q$9:$Q$13,C142))),"✓ มีสิทธิ์รับ","⚠ ไม่อยู่ในรายชื่อ"))</f>
        <v/>
      </c>
      <c r="J142" s="223" t="n"/>
      <c r="K142" s="223" t="n"/>
      <c r="L142" s="233">
        <f>IF(C142="","",IFERROR(INDEX('ผู้รับ-ส่ง'!$O$9:$O$13,C142)&amp;"",""))</f>
        <v/>
      </c>
    </row>
    <row r="143">
      <c r="A143" s="221" t="n"/>
      <c r="B143" s="221" t="n"/>
      <c r="C143" s="221" t="n"/>
      <c r="D143" s="230">
        <f>IF(C143="","",IFERROR(INDEX('ข้อมูลนักเรียน'!$T$9:$T$13,C143),"ไม่พบเลขที่"))</f>
        <v/>
      </c>
      <c r="E143" s="221" t="n"/>
      <c r="F143" s="231" t="n"/>
      <c r="G143" s="223" t="n"/>
      <c r="H143" s="221" t="n"/>
      <c r="I143" s="232">
        <f>IF(OR(C143="",G143=""),"",IF(ISNUMBER(SEARCH(TRIM(G143),INDEX('ผู้รับ-ส่ง'!$Q$9:$Q$13,C143))),"✓ มีสิทธิ์รับ","⚠ ไม่อยู่ในรายชื่อ"))</f>
        <v/>
      </c>
      <c r="J143" s="223" t="n"/>
      <c r="K143" s="223" t="n"/>
      <c r="L143" s="233">
        <f>IF(C143="","",IFERROR(INDEX('ผู้รับ-ส่ง'!$O$9:$O$13,C143)&amp;"",""))</f>
        <v/>
      </c>
    </row>
    <row r="144">
      <c r="A144" s="221" t="n"/>
      <c r="B144" s="221" t="n"/>
      <c r="C144" s="221" t="n"/>
      <c r="D144" s="230">
        <f>IF(C144="","",IFERROR(INDEX('ข้อมูลนักเรียน'!$T$9:$T$13,C144),"ไม่พบเลขที่"))</f>
        <v/>
      </c>
      <c r="E144" s="221" t="n"/>
      <c r="F144" s="231" t="n"/>
      <c r="G144" s="223" t="n"/>
      <c r="H144" s="221" t="n"/>
      <c r="I144" s="232">
        <f>IF(OR(C144="",G144=""),"",IF(ISNUMBER(SEARCH(TRIM(G144),INDEX('ผู้รับ-ส่ง'!$Q$9:$Q$13,C144))),"✓ มีสิทธิ์รับ","⚠ ไม่อยู่ในรายชื่อ"))</f>
        <v/>
      </c>
      <c r="J144" s="223" t="n"/>
      <c r="K144" s="223" t="n"/>
      <c r="L144" s="233">
        <f>IF(C144="","",IFERROR(INDEX('ผู้รับ-ส่ง'!$O$9:$O$13,C144)&amp;"",""))</f>
        <v/>
      </c>
    </row>
    <row r="145">
      <c r="A145" s="221" t="n"/>
      <c r="B145" s="221" t="n"/>
      <c r="C145" s="221" t="n"/>
      <c r="D145" s="230">
        <f>IF(C145="","",IFERROR(INDEX('ข้อมูลนักเรียน'!$T$9:$T$13,C145),"ไม่พบเลขที่"))</f>
        <v/>
      </c>
      <c r="E145" s="221" t="n"/>
      <c r="F145" s="231" t="n"/>
      <c r="G145" s="223" t="n"/>
      <c r="H145" s="221" t="n"/>
      <c r="I145" s="232">
        <f>IF(OR(C145="",G145=""),"",IF(ISNUMBER(SEARCH(TRIM(G145),INDEX('ผู้รับ-ส่ง'!$Q$9:$Q$13,C145))),"✓ มีสิทธิ์รับ","⚠ ไม่อยู่ในรายชื่อ"))</f>
        <v/>
      </c>
      <c r="J145" s="223" t="n"/>
      <c r="K145" s="223" t="n"/>
      <c r="L145" s="233">
        <f>IF(C145="","",IFERROR(INDEX('ผู้รับ-ส่ง'!$O$9:$O$13,C145)&amp;"",""))</f>
        <v/>
      </c>
    </row>
    <row r="146">
      <c r="A146" s="221" t="n"/>
      <c r="B146" s="221" t="n"/>
      <c r="C146" s="221" t="n"/>
      <c r="D146" s="230">
        <f>IF(C146="","",IFERROR(INDEX('ข้อมูลนักเรียน'!$T$9:$T$13,C146),"ไม่พบเลขที่"))</f>
        <v/>
      </c>
      <c r="E146" s="221" t="n"/>
      <c r="F146" s="231" t="n"/>
      <c r="G146" s="223" t="n"/>
      <c r="H146" s="221" t="n"/>
      <c r="I146" s="232">
        <f>IF(OR(C146="",G146=""),"",IF(ISNUMBER(SEARCH(TRIM(G146),INDEX('ผู้รับ-ส่ง'!$Q$9:$Q$13,C146))),"✓ มีสิทธิ์รับ","⚠ ไม่อยู่ในรายชื่อ"))</f>
        <v/>
      </c>
      <c r="J146" s="223" t="n"/>
      <c r="K146" s="223" t="n"/>
      <c r="L146" s="233">
        <f>IF(C146="","",IFERROR(INDEX('ผู้รับ-ส่ง'!$O$9:$O$13,C146)&amp;"",""))</f>
        <v/>
      </c>
    </row>
    <row r="147">
      <c r="A147" s="221" t="n"/>
      <c r="B147" s="221" t="n"/>
      <c r="C147" s="221" t="n"/>
      <c r="D147" s="230">
        <f>IF(C147="","",IFERROR(INDEX('ข้อมูลนักเรียน'!$T$9:$T$13,C147),"ไม่พบเลขที่"))</f>
        <v/>
      </c>
      <c r="E147" s="221" t="n"/>
      <c r="F147" s="231" t="n"/>
      <c r="G147" s="223" t="n"/>
      <c r="H147" s="221" t="n"/>
      <c r="I147" s="232">
        <f>IF(OR(C147="",G147=""),"",IF(ISNUMBER(SEARCH(TRIM(G147),INDEX('ผู้รับ-ส่ง'!$Q$9:$Q$13,C147))),"✓ มีสิทธิ์รับ","⚠ ไม่อยู่ในรายชื่อ"))</f>
        <v/>
      </c>
      <c r="J147" s="223" t="n"/>
      <c r="K147" s="223" t="n"/>
      <c r="L147" s="233">
        <f>IF(C147="","",IFERROR(INDEX('ผู้รับ-ส่ง'!$O$9:$O$13,C147)&amp;"",""))</f>
        <v/>
      </c>
    </row>
    <row r="148">
      <c r="A148" s="221" t="n"/>
      <c r="B148" s="221" t="n"/>
      <c r="C148" s="221" t="n"/>
      <c r="D148" s="230">
        <f>IF(C148="","",IFERROR(INDEX('ข้อมูลนักเรียน'!$T$9:$T$13,C148),"ไม่พบเลขที่"))</f>
        <v/>
      </c>
      <c r="E148" s="221" t="n"/>
      <c r="F148" s="231" t="n"/>
      <c r="G148" s="223" t="n"/>
      <c r="H148" s="221" t="n"/>
      <c r="I148" s="232">
        <f>IF(OR(C148="",G148=""),"",IF(ISNUMBER(SEARCH(TRIM(G148),INDEX('ผู้รับ-ส่ง'!$Q$9:$Q$13,C148))),"✓ มีสิทธิ์รับ","⚠ ไม่อยู่ในรายชื่อ"))</f>
        <v/>
      </c>
      <c r="J148" s="223" t="n"/>
      <c r="K148" s="223" t="n"/>
      <c r="L148" s="233">
        <f>IF(C148="","",IFERROR(INDEX('ผู้รับ-ส่ง'!$O$9:$O$13,C148)&amp;"",""))</f>
        <v/>
      </c>
    </row>
    <row r="149">
      <c r="A149" s="221" t="n"/>
      <c r="B149" s="221" t="n"/>
      <c r="C149" s="221" t="n"/>
      <c r="D149" s="230">
        <f>IF(C149="","",IFERROR(INDEX('ข้อมูลนักเรียน'!$T$9:$T$13,C149),"ไม่พบเลขที่"))</f>
        <v/>
      </c>
      <c r="E149" s="221" t="n"/>
      <c r="F149" s="231" t="n"/>
      <c r="G149" s="223" t="n"/>
      <c r="H149" s="221" t="n"/>
      <c r="I149" s="232">
        <f>IF(OR(C149="",G149=""),"",IF(ISNUMBER(SEARCH(TRIM(G149),INDEX('ผู้รับ-ส่ง'!$Q$9:$Q$13,C149))),"✓ มีสิทธิ์รับ","⚠ ไม่อยู่ในรายชื่อ"))</f>
        <v/>
      </c>
      <c r="J149" s="223" t="n"/>
      <c r="K149" s="223" t="n"/>
      <c r="L149" s="233">
        <f>IF(C149="","",IFERROR(INDEX('ผู้รับ-ส่ง'!$O$9:$O$13,C149)&amp;"",""))</f>
        <v/>
      </c>
    </row>
    <row r="150">
      <c r="A150" s="221" t="n"/>
      <c r="B150" s="221" t="n"/>
      <c r="C150" s="221" t="n"/>
      <c r="D150" s="230">
        <f>IF(C150="","",IFERROR(INDEX('ข้อมูลนักเรียน'!$T$9:$T$13,C150),"ไม่พบเลขที่"))</f>
        <v/>
      </c>
      <c r="E150" s="221" t="n"/>
      <c r="F150" s="231" t="n"/>
      <c r="G150" s="223" t="n"/>
      <c r="H150" s="221" t="n"/>
      <c r="I150" s="232">
        <f>IF(OR(C150="",G150=""),"",IF(ISNUMBER(SEARCH(TRIM(G150),INDEX('ผู้รับ-ส่ง'!$Q$9:$Q$13,C150))),"✓ มีสิทธิ์รับ","⚠ ไม่อยู่ในรายชื่อ"))</f>
        <v/>
      </c>
      <c r="J150" s="223" t="n"/>
      <c r="K150" s="223" t="n"/>
      <c r="L150" s="233">
        <f>IF(C150="","",IFERROR(INDEX('ผู้รับ-ส่ง'!$O$9:$O$13,C150)&amp;"",""))</f>
        <v/>
      </c>
    </row>
    <row r="151">
      <c r="A151" s="221" t="n"/>
      <c r="B151" s="221" t="n"/>
      <c r="C151" s="221" t="n"/>
      <c r="D151" s="230">
        <f>IF(C151="","",IFERROR(INDEX('ข้อมูลนักเรียน'!$T$9:$T$13,C151),"ไม่พบเลขที่"))</f>
        <v/>
      </c>
      <c r="E151" s="221" t="n"/>
      <c r="F151" s="231" t="n"/>
      <c r="G151" s="223" t="n"/>
      <c r="H151" s="221" t="n"/>
      <c r="I151" s="232">
        <f>IF(OR(C151="",G151=""),"",IF(ISNUMBER(SEARCH(TRIM(G151),INDEX('ผู้รับ-ส่ง'!$Q$9:$Q$13,C151))),"✓ มีสิทธิ์รับ","⚠ ไม่อยู่ในรายชื่อ"))</f>
        <v/>
      </c>
      <c r="J151" s="223" t="n"/>
      <c r="K151" s="223" t="n"/>
      <c r="L151" s="233">
        <f>IF(C151="","",IFERROR(INDEX('ผู้รับ-ส่ง'!$O$9:$O$13,C151)&amp;"",""))</f>
        <v/>
      </c>
    </row>
    <row r="152">
      <c r="A152" s="221" t="n"/>
      <c r="B152" s="221" t="n"/>
      <c r="C152" s="221" t="n"/>
      <c r="D152" s="230">
        <f>IF(C152="","",IFERROR(INDEX('ข้อมูลนักเรียน'!$T$9:$T$13,C152),"ไม่พบเลขที่"))</f>
        <v/>
      </c>
      <c r="E152" s="221" t="n"/>
      <c r="F152" s="231" t="n"/>
      <c r="G152" s="223" t="n"/>
      <c r="H152" s="221" t="n"/>
      <c r="I152" s="232">
        <f>IF(OR(C152="",G152=""),"",IF(ISNUMBER(SEARCH(TRIM(G152),INDEX('ผู้รับ-ส่ง'!$Q$9:$Q$13,C152))),"✓ มีสิทธิ์รับ","⚠ ไม่อยู่ในรายชื่อ"))</f>
        <v/>
      </c>
      <c r="J152" s="223" t="n"/>
      <c r="K152" s="223" t="n"/>
      <c r="L152" s="233">
        <f>IF(C152="","",IFERROR(INDEX('ผู้รับ-ส่ง'!$O$9:$O$13,C152)&amp;"",""))</f>
        <v/>
      </c>
    </row>
    <row r="153">
      <c r="A153" s="221" t="n"/>
      <c r="B153" s="221" t="n"/>
      <c r="C153" s="221" t="n"/>
      <c r="D153" s="230">
        <f>IF(C153="","",IFERROR(INDEX('ข้อมูลนักเรียน'!$T$9:$T$13,C153),"ไม่พบเลขที่"))</f>
        <v/>
      </c>
      <c r="E153" s="221" t="n"/>
      <c r="F153" s="231" t="n"/>
      <c r="G153" s="223" t="n"/>
      <c r="H153" s="221" t="n"/>
      <c r="I153" s="232">
        <f>IF(OR(C153="",G153=""),"",IF(ISNUMBER(SEARCH(TRIM(G153),INDEX('ผู้รับ-ส่ง'!$Q$9:$Q$13,C153))),"✓ มีสิทธิ์รับ","⚠ ไม่อยู่ในรายชื่อ"))</f>
        <v/>
      </c>
      <c r="J153" s="223" t="n"/>
      <c r="K153" s="223" t="n"/>
      <c r="L153" s="233">
        <f>IF(C153="","",IFERROR(INDEX('ผู้รับ-ส่ง'!$O$9:$O$13,C153)&amp;"",""))</f>
        <v/>
      </c>
    </row>
    <row r="154">
      <c r="A154" s="221" t="n"/>
      <c r="B154" s="221" t="n"/>
      <c r="C154" s="221" t="n"/>
      <c r="D154" s="230">
        <f>IF(C154="","",IFERROR(INDEX('ข้อมูลนักเรียน'!$T$9:$T$13,C154),"ไม่พบเลขที่"))</f>
        <v/>
      </c>
      <c r="E154" s="221" t="n"/>
      <c r="F154" s="231" t="n"/>
      <c r="G154" s="223" t="n"/>
      <c r="H154" s="221" t="n"/>
      <c r="I154" s="232">
        <f>IF(OR(C154="",G154=""),"",IF(ISNUMBER(SEARCH(TRIM(G154),INDEX('ผู้รับ-ส่ง'!$Q$9:$Q$13,C154))),"✓ มีสิทธิ์รับ","⚠ ไม่อยู่ในรายชื่อ"))</f>
        <v/>
      </c>
      <c r="J154" s="223" t="n"/>
      <c r="K154" s="223" t="n"/>
      <c r="L154" s="233">
        <f>IF(C154="","",IFERROR(INDEX('ผู้รับ-ส่ง'!$O$9:$O$13,C154)&amp;"",""))</f>
        <v/>
      </c>
    </row>
    <row r="155">
      <c r="A155" s="221" t="n"/>
      <c r="B155" s="221" t="n"/>
      <c r="C155" s="221" t="n"/>
      <c r="D155" s="230">
        <f>IF(C155="","",IFERROR(INDEX('ข้อมูลนักเรียน'!$T$9:$T$13,C155),"ไม่พบเลขที่"))</f>
        <v/>
      </c>
      <c r="E155" s="221" t="n"/>
      <c r="F155" s="231" t="n"/>
      <c r="G155" s="223" t="n"/>
      <c r="H155" s="221" t="n"/>
      <c r="I155" s="232">
        <f>IF(OR(C155="",G155=""),"",IF(ISNUMBER(SEARCH(TRIM(G155),INDEX('ผู้รับ-ส่ง'!$Q$9:$Q$13,C155))),"✓ มีสิทธิ์รับ","⚠ ไม่อยู่ในรายชื่อ"))</f>
        <v/>
      </c>
      <c r="J155" s="223" t="n"/>
      <c r="K155" s="223" t="n"/>
      <c r="L155" s="233">
        <f>IF(C155="","",IFERROR(INDEX('ผู้รับ-ส่ง'!$O$9:$O$13,C155)&amp;"",""))</f>
        <v/>
      </c>
    </row>
    <row r="156">
      <c r="A156" s="221" t="n"/>
      <c r="B156" s="221" t="n"/>
      <c r="C156" s="221" t="n"/>
      <c r="D156" s="230">
        <f>IF(C156="","",IFERROR(INDEX('ข้อมูลนักเรียน'!$T$9:$T$13,C156),"ไม่พบเลขที่"))</f>
        <v/>
      </c>
      <c r="E156" s="221" t="n"/>
      <c r="F156" s="231" t="n"/>
      <c r="G156" s="223" t="n"/>
      <c r="H156" s="221" t="n"/>
      <c r="I156" s="232">
        <f>IF(OR(C156="",G156=""),"",IF(ISNUMBER(SEARCH(TRIM(G156),INDEX('ผู้รับ-ส่ง'!$Q$9:$Q$13,C156))),"✓ มีสิทธิ์รับ","⚠ ไม่อยู่ในรายชื่อ"))</f>
        <v/>
      </c>
      <c r="J156" s="223" t="n"/>
      <c r="K156" s="223" t="n"/>
      <c r="L156" s="233">
        <f>IF(C156="","",IFERROR(INDEX('ผู้รับ-ส่ง'!$O$9:$O$13,C156)&amp;"",""))</f>
        <v/>
      </c>
    </row>
    <row r="157">
      <c r="A157" s="221" t="n"/>
      <c r="B157" s="221" t="n"/>
      <c r="C157" s="221" t="n"/>
      <c r="D157" s="230">
        <f>IF(C157="","",IFERROR(INDEX('ข้อมูลนักเรียน'!$T$9:$T$13,C157),"ไม่พบเลขที่"))</f>
        <v/>
      </c>
      <c r="E157" s="221" t="n"/>
      <c r="F157" s="231" t="n"/>
      <c r="G157" s="223" t="n"/>
      <c r="H157" s="221" t="n"/>
      <c r="I157" s="232">
        <f>IF(OR(C157="",G157=""),"",IF(ISNUMBER(SEARCH(TRIM(G157),INDEX('ผู้รับ-ส่ง'!$Q$9:$Q$13,C157))),"✓ มีสิทธิ์รับ","⚠ ไม่อยู่ในรายชื่อ"))</f>
        <v/>
      </c>
      <c r="J157" s="223" t="n"/>
      <c r="K157" s="223" t="n"/>
      <c r="L157" s="233">
        <f>IF(C157="","",IFERROR(INDEX('ผู้รับ-ส่ง'!$O$9:$O$13,C157)&amp;"",""))</f>
        <v/>
      </c>
    </row>
    <row r="158">
      <c r="A158" s="221" t="n"/>
      <c r="B158" s="221" t="n"/>
      <c r="C158" s="221" t="n"/>
      <c r="D158" s="230">
        <f>IF(C158="","",IFERROR(INDEX('ข้อมูลนักเรียน'!$T$9:$T$13,C158),"ไม่พบเลขที่"))</f>
        <v/>
      </c>
      <c r="E158" s="221" t="n"/>
      <c r="F158" s="231" t="n"/>
      <c r="G158" s="223" t="n"/>
      <c r="H158" s="221" t="n"/>
      <c r="I158" s="232">
        <f>IF(OR(C158="",G158=""),"",IF(ISNUMBER(SEARCH(TRIM(G158),INDEX('ผู้รับ-ส่ง'!$Q$9:$Q$13,C158))),"✓ มีสิทธิ์รับ","⚠ ไม่อยู่ในรายชื่อ"))</f>
        <v/>
      </c>
      <c r="J158" s="223" t="n"/>
      <c r="K158" s="223" t="n"/>
      <c r="L158" s="233">
        <f>IF(C158="","",IFERROR(INDEX('ผู้รับ-ส่ง'!$O$9:$O$13,C158)&amp;"",""))</f>
        <v/>
      </c>
    </row>
    <row r="159">
      <c r="A159" s="221" t="n"/>
      <c r="B159" s="221" t="n"/>
      <c r="C159" s="221" t="n"/>
      <c r="D159" s="230">
        <f>IF(C159="","",IFERROR(INDEX('ข้อมูลนักเรียน'!$T$9:$T$13,C159),"ไม่พบเลขที่"))</f>
        <v/>
      </c>
      <c r="E159" s="221" t="n"/>
      <c r="F159" s="231" t="n"/>
      <c r="G159" s="223" t="n"/>
      <c r="H159" s="221" t="n"/>
      <c r="I159" s="232">
        <f>IF(OR(C159="",G159=""),"",IF(ISNUMBER(SEARCH(TRIM(G159),INDEX('ผู้รับ-ส่ง'!$Q$9:$Q$13,C159))),"✓ มีสิทธิ์รับ","⚠ ไม่อยู่ในรายชื่อ"))</f>
        <v/>
      </c>
      <c r="J159" s="223" t="n"/>
      <c r="K159" s="223" t="n"/>
      <c r="L159" s="233">
        <f>IF(C159="","",IFERROR(INDEX('ผู้รับ-ส่ง'!$O$9:$O$13,C159)&amp;"",""))</f>
        <v/>
      </c>
    </row>
    <row r="160">
      <c r="A160" s="221" t="n"/>
      <c r="B160" s="221" t="n"/>
      <c r="C160" s="221" t="n"/>
      <c r="D160" s="230">
        <f>IF(C160="","",IFERROR(INDEX('ข้อมูลนักเรียน'!$T$9:$T$13,C160),"ไม่พบเลขที่"))</f>
        <v/>
      </c>
      <c r="E160" s="221" t="n"/>
      <c r="F160" s="231" t="n"/>
      <c r="G160" s="223" t="n"/>
      <c r="H160" s="221" t="n"/>
      <c r="I160" s="232">
        <f>IF(OR(C160="",G160=""),"",IF(ISNUMBER(SEARCH(TRIM(G160),INDEX('ผู้รับ-ส่ง'!$Q$9:$Q$13,C160))),"✓ มีสิทธิ์รับ","⚠ ไม่อยู่ในรายชื่อ"))</f>
        <v/>
      </c>
      <c r="J160" s="223" t="n"/>
      <c r="K160" s="223" t="n"/>
      <c r="L160" s="233">
        <f>IF(C160="","",IFERROR(INDEX('ผู้รับ-ส่ง'!$O$9:$O$13,C160)&amp;"",""))</f>
        <v/>
      </c>
    </row>
    <row r="161">
      <c r="A161" s="221" t="n"/>
      <c r="B161" s="221" t="n"/>
      <c r="C161" s="221" t="n"/>
      <c r="D161" s="230">
        <f>IF(C161="","",IFERROR(INDEX('ข้อมูลนักเรียน'!$T$9:$T$13,C161),"ไม่พบเลขที่"))</f>
        <v/>
      </c>
      <c r="E161" s="221" t="n"/>
      <c r="F161" s="231" t="n"/>
      <c r="G161" s="223" t="n"/>
      <c r="H161" s="221" t="n"/>
      <c r="I161" s="232">
        <f>IF(OR(C161="",G161=""),"",IF(ISNUMBER(SEARCH(TRIM(G161),INDEX('ผู้รับ-ส่ง'!$Q$9:$Q$13,C161))),"✓ มีสิทธิ์รับ","⚠ ไม่อยู่ในรายชื่อ"))</f>
        <v/>
      </c>
      <c r="J161" s="223" t="n"/>
      <c r="K161" s="223" t="n"/>
      <c r="L161" s="233">
        <f>IF(C161="","",IFERROR(INDEX('ผู้รับ-ส่ง'!$O$9:$O$13,C161)&amp;"",""))</f>
        <v/>
      </c>
    </row>
    <row r="162">
      <c r="A162" s="221" t="n"/>
      <c r="B162" s="221" t="n"/>
      <c r="C162" s="221" t="n"/>
      <c r="D162" s="230">
        <f>IF(C162="","",IFERROR(INDEX('ข้อมูลนักเรียน'!$T$9:$T$13,C162),"ไม่พบเลขที่"))</f>
        <v/>
      </c>
      <c r="E162" s="221" t="n"/>
      <c r="F162" s="231" t="n"/>
      <c r="G162" s="223" t="n"/>
      <c r="H162" s="221" t="n"/>
      <c r="I162" s="232">
        <f>IF(OR(C162="",G162=""),"",IF(ISNUMBER(SEARCH(TRIM(G162),INDEX('ผู้รับ-ส่ง'!$Q$9:$Q$13,C162))),"✓ มีสิทธิ์รับ","⚠ ไม่อยู่ในรายชื่อ"))</f>
        <v/>
      </c>
      <c r="J162" s="223" t="n"/>
      <c r="K162" s="223" t="n"/>
      <c r="L162" s="233">
        <f>IF(C162="","",IFERROR(INDEX('ผู้รับ-ส่ง'!$O$9:$O$13,C162)&amp;"",""))</f>
        <v/>
      </c>
    </row>
    <row r="163">
      <c r="A163" s="221" t="n"/>
      <c r="B163" s="221" t="n"/>
      <c r="C163" s="221" t="n"/>
      <c r="D163" s="230">
        <f>IF(C163="","",IFERROR(INDEX('ข้อมูลนักเรียน'!$T$9:$T$13,C163),"ไม่พบเลขที่"))</f>
        <v/>
      </c>
      <c r="E163" s="221" t="n"/>
      <c r="F163" s="231" t="n"/>
      <c r="G163" s="223" t="n"/>
      <c r="H163" s="221" t="n"/>
      <c r="I163" s="232">
        <f>IF(OR(C163="",G163=""),"",IF(ISNUMBER(SEARCH(TRIM(G163),INDEX('ผู้รับ-ส่ง'!$Q$9:$Q$13,C163))),"✓ มีสิทธิ์รับ","⚠ ไม่อยู่ในรายชื่อ"))</f>
        <v/>
      </c>
      <c r="J163" s="223" t="n"/>
      <c r="K163" s="223" t="n"/>
      <c r="L163" s="233">
        <f>IF(C163="","",IFERROR(INDEX('ผู้รับ-ส่ง'!$O$9:$O$13,C163)&amp;"",""))</f>
        <v/>
      </c>
    </row>
    <row r="164">
      <c r="A164" s="221" t="n"/>
      <c r="B164" s="221" t="n"/>
      <c r="C164" s="221" t="n"/>
      <c r="D164" s="230">
        <f>IF(C164="","",IFERROR(INDEX('ข้อมูลนักเรียน'!$T$9:$T$13,C164),"ไม่พบเลขที่"))</f>
        <v/>
      </c>
      <c r="E164" s="221" t="n"/>
      <c r="F164" s="231" t="n"/>
      <c r="G164" s="223" t="n"/>
      <c r="H164" s="221" t="n"/>
      <c r="I164" s="232">
        <f>IF(OR(C164="",G164=""),"",IF(ISNUMBER(SEARCH(TRIM(G164),INDEX('ผู้รับ-ส่ง'!$Q$9:$Q$13,C164))),"✓ มีสิทธิ์รับ","⚠ ไม่อยู่ในรายชื่อ"))</f>
        <v/>
      </c>
      <c r="J164" s="223" t="n"/>
      <c r="K164" s="223" t="n"/>
      <c r="L164" s="233">
        <f>IF(C164="","",IFERROR(INDEX('ผู้รับ-ส่ง'!$O$9:$O$13,C164)&amp;"",""))</f>
        <v/>
      </c>
    </row>
    <row r="165">
      <c r="A165" s="221" t="n"/>
      <c r="B165" s="221" t="n"/>
      <c r="C165" s="221" t="n"/>
      <c r="D165" s="230">
        <f>IF(C165="","",IFERROR(INDEX('ข้อมูลนักเรียน'!$T$9:$T$13,C165),"ไม่พบเลขที่"))</f>
        <v/>
      </c>
      <c r="E165" s="221" t="n"/>
      <c r="F165" s="231" t="n"/>
      <c r="G165" s="223" t="n"/>
      <c r="H165" s="221" t="n"/>
      <c r="I165" s="232">
        <f>IF(OR(C165="",G165=""),"",IF(ISNUMBER(SEARCH(TRIM(G165),INDEX('ผู้รับ-ส่ง'!$Q$9:$Q$13,C165))),"✓ มีสิทธิ์รับ","⚠ ไม่อยู่ในรายชื่อ"))</f>
        <v/>
      </c>
      <c r="J165" s="223" t="n"/>
      <c r="K165" s="223" t="n"/>
      <c r="L165" s="233">
        <f>IF(C165="","",IFERROR(INDEX('ผู้รับ-ส่ง'!$O$9:$O$13,C165)&amp;"",""))</f>
        <v/>
      </c>
    </row>
    <row r="166">
      <c r="A166" s="221" t="n"/>
      <c r="B166" s="221" t="n"/>
      <c r="C166" s="221" t="n"/>
      <c r="D166" s="230">
        <f>IF(C166="","",IFERROR(INDEX('ข้อมูลนักเรียน'!$T$9:$T$13,C166),"ไม่พบเลขที่"))</f>
        <v/>
      </c>
      <c r="E166" s="221" t="n"/>
      <c r="F166" s="231" t="n"/>
      <c r="G166" s="223" t="n"/>
      <c r="H166" s="221" t="n"/>
      <c r="I166" s="232">
        <f>IF(OR(C166="",G166=""),"",IF(ISNUMBER(SEARCH(TRIM(G166),INDEX('ผู้รับ-ส่ง'!$Q$9:$Q$13,C166))),"✓ มีสิทธิ์รับ","⚠ ไม่อยู่ในรายชื่อ"))</f>
        <v/>
      </c>
      <c r="J166" s="223" t="n"/>
      <c r="K166" s="223" t="n"/>
      <c r="L166" s="233">
        <f>IF(C166="","",IFERROR(INDEX('ผู้รับ-ส่ง'!$O$9:$O$13,C166)&amp;"",""))</f>
        <v/>
      </c>
    </row>
    <row r="167">
      <c r="A167" s="221" t="n"/>
      <c r="B167" s="221" t="n"/>
      <c r="C167" s="221" t="n"/>
      <c r="D167" s="230">
        <f>IF(C167="","",IFERROR(INDEX('ข้อมูลนักเรียน'!$T$9:$T$13,C167),"ไม่พบเลขที่"))</f>
        <v/>
      </c>
      <c r="E167" s="221" t="n"/>
      <c r="F167" s="231" t="n"/>
      <c r="G167" s="223" t="n"/>
      <c r="H167" s="221" t="n"/>
      <c r="I167" s="232">
        <f>IF(OR(C167="",G167=""),"",IF(ISNUMBER(SEARCH(TRIM(G167),INDEX('ผู้รับ-ส่ง'!$Q$9:$Q$13,C167))),"✓ มีสิทธิ์รับ","⚠ ไม่อยู่ในรายชื่อ"))</f>
        <v/>
      </c>
      <c r="J167" s="223" t="n"/>
      <c r="K167" s="223" t="n"/>
      <c r="L167" s="233">
        <f>IF(C167="","",IFERROR(INDEX('ผู้รับ-ส่ง'!$O$9:$O$13,C167)&amp;"",""))</f>
        <v/>
      </c>
    </row>
    <row r="168">
      <c r="A168" s="221" t="n"/>
      <c r="B168" s="221" t="n"/>
      <c r="C168" s="221" t="n"/>
      <c r="D168" s="230">
        <f>IF(C168="","",IFERROR(INDEX('ข้อมูลนักเรียน'!$T$9:$T$13,C168),"ไม่พบเลขที่"))</f>
        <v/>
      </c>
      <c r="E168" s="221" t="n"/>
      <c r="F168" s="231" t="n"/>
      <c r="G168" s="223" t="n"/>
      <c r="H168" s="221" t="n"/>
      <c r="I168" s="232">
        <f>IF(OR(C168="",G168=""),"",IF(ISNUMBER(SEARCH(TRIM(G168),INDEX('ผู้รับ-ส่ง'!$Q$9:$Q$13,C168))),"✓ มีสิทธิ์รับ","⚠ ไม่อยู่ในรายชื่อ"))</f>
        <v/>
      </c>
      <c r="J168" s="223" t="n"/>
      <c r="K168" s="223" t="n"/>
      <c r="L168" s="233">
        <f>IF(C168="","",IFERROR(INDEX('ผู้รับ-ส่ง'!$O$9:$O$13,C168)&amp;"",""))</f>
        <v/>
      </c>
    </row>
    <row r="169">
      <c r="A169" s="221" t="n"/>
      <c r="B169" s="221" t="n"/>
      <c r="C169" s="221" t="n"/>
      <c r="D169" s="230">
        <f>IF(C169="","",IFERROR(INDEX('ข้อมูลนักเรียน'!$T$9:$T$13,C169),"ไม่พบเลขที่"))</f>
        <v/>
      </c>
      <c r="E169" s="221" t="n"/>
      <c r="F169" s="231" t="n"/>
      <c r="G169" s="223" t="n"/>
      <c r="H169" s="221" t="n"/>
      <c r="I169" s="232">
        <f>IF(OR(C169="",G169=""),"",IF(ISNUMBER(SEARCH(TRIM(G169),INDEX('ผู้รับ-ส่ง'!$Q$9:$Q$13,C169))),"✓ มีสิทธิ์รับ","⚠ ไม่อยู่ในรายชื่อ"))</f>
        <v/>
      </c>
      <c r="J169" s="223" t="n"/>
      <c r="K169" s="223" t="n"/>
      <c r="L169" s="233">
        <f>IF(C169="","",IFERROR(INDEX('ผู้รับ-ส่ง'!$O$9:$O$13,C169)&amp;"",""))</f>
        <v/>
      </c>
    </row>
    <row r="170">
      <c r="A170" s="221" t="n"/>
      <c r="B170" s="221" t="n"/>
      <c r="C170" s="221" t="n"/>
      <c r="D170" s="230">
        <f>IF(C170="","",IFERROR(INDEX('ข้อมูลนักเรียน'!$T$9:$T$13,C170),"ไม่พบเลขที่"))</f>
        <v/>
      </c>
      <c r="E170" s="221" t="n"/>
      <c r="F170" s="231" t="n"/>
      <c r="G170" s="223" t="n"/>
      <c r="H170" s="221" t="n"/>
      <c r="I170" s="232">
        <f>IF(OR(C170="",G170=""),"",IF(ISNUMBER(SEARCH(TRIM(G170),INDEX('ผู้รับ-ส่ง'!$Q$9:$Q$13,C170))),"✓ มีสิทธิ์รับ","⚠ ไม่อยู่ในรายชื่อ"))</f>
        <v/>
      </c>
      <c r="J170" s="223" t="n"/>
      <c r="K170" s="223" t="n"/>
      <c r="L170" s="233">
        <f>IF(C170="","",IFERROR(INDEX('ผู้รับ-ส่ง'!$O$9:$O$13,C170)&amp;"",""))</f>
        <v/>
      </c>
    </row>
    <row r="171">
      <c r="A171" s="221" t="n"/>
      <c r="B171" s="221" t="n"/>
      <c r="C171" s="221" t="n"/>
      <c r="D171" s="230">
        <f>IF(C171="","",IFERROR(INDEX('ข้อมูลนักเรียน'!$T$9:$T$13,C171),"ไม่พบเลขที่"))</f>
        <v/>
      </c>
      <c r="E171" s="221" t="n"/>
      <c r="F171" s="231" t="n"/>
      <c r="G171" s="223" t="n"/>
      <c r="H171" s="221" t="n"/>
      <c r="I171" s="232">
        <f>IF(OR(C171="",G171=""),"",IF(ISNUMBER(SEARCH(TRIM(G171),INDEX('ผู้รับ-ส่ง'!$Q$9:$Q$13,C171))),"✓ มีสิทธิ์รับ","⚠ ไม่อยู่ในรายชื่อ"))</f>
        <v/>
      </c>
      <c r="J171" s="223" t="n"/>
      <c r="K171" s="223" t="n"/>
      <c r="L171" s="233">
        <f>IF(C171="","",IFERROR(INDEX('ผู้รับ-ส่ง'!$O$9:$O$13,C171)&amp;"",""))</f>
        <v/>
      </c>
    </row>
    <row r="172">
      <c r="A172" s="221" t="n"/>
      <c r="B172" s="221" t="n"/>
      <c r="C172" s="221" t="n"/>
      <c r="D172" s="230">
        <f>IF(C172="","",IFERROR(INDEX('ข้อมูลนักเรียน'!$T$9:$T$13,C172),"ไม่พบเลขที่"))</f>
        <v/>
      </c>
      <c r="E172" s="221" t="n"/>
      <c r="F172" s="231" t="n"/>
      <c r="G172" s="223" t="n"/>
      <c r="H172" s="221" t="n"/>
      <c r="I172" s="232">
        <f>IF(OR(C172="",G172=""),"",IF(ISNUMBER(SEARCH(TRIM(G172),INDEX('ผู้รับ-ส่ง'!$Q$9:$Q$13,C172))),"✓ มีสิทธิ์รับ","⚠ ไม่อยู่ในรายชื่อ"))</f>
        <v/>
      </c>
      <c r="J172" s="223" t="n"/>
      <c r="K172" s="223" t="n"/>
      <c r="L172" s="233">
        <f>IF(C172="","",IFERROR(INDEX('ผู้รับ-ส่ง'!$O$9:$O$13,C172)&amp;"",""))</f>
        <v/>
      </c>
    </row>
    <row r="173">
      <c r="A173" s="221" t="n"/>
      <c r="B173" s="221" t="n"/>
      <c r="C173" s="221" t="n"/>
      <c r="D173" s="230">
        <f>IF(C173="","",IFERROR(INDEX('ข้อมูลนักเรียน'!$T$9:$T$13,C173),"ไม่พบเลขที่"))</f>
        <v/>
      </c>
      <c r="E173" s="221" t="n"/>
      <c r="F173" s="231" t="n"/>
      <c r="G173" s="223" t="n"/>
      <c r="H173" s="221" t="n"/>
      <c r="I173" s="232">
        <f>IF(OR(C173="",G173=""),"",IF(ISNUMBER(SEARCH(TRIM(G173),INDEX('ผู้รับ-ส่ง'!$Q$9:$Q$13,C173))),"✓ มีสิทธิ์รับ","⚠ ไม่อยู่ในรายชื่อ"))</f>
        <v/>
      </c>
      <c r="J173" s="223" t="n"/>
      <c r="K173" s="223" t="n"/>
      <c r="L173" s="233">
        <f>IF(C173="","",IFERROR(INDEX('ผู้รับ-ส่ง'!$O$9:$O$13,C173)&amp;"",""))</f>
        <v/>
      </c>
    </row>
    <row r="174">
      <c r="A174" s="221" t="n"/>
      <c r="B174" s="221" t="n"/>
      <c r="C174" s="221" t="n"/>
      <c r="D174" s="230">
        <f>IF(C174="","",IFERROR(INDEX('ข้อมูลนักเรียน'!$T$9:$T$13,C174),"ไม่พบเลขที่"))</f>
        <v/>
      </c>
      <c r="E174" s="221" t="n"/>
      <c r="F174" s="231" t="n"/>
      <c r="G174" s="223" t="n"/>
      <c r="H174" s="221" t="n"/>
      <c r="I174" s="232">
        <f>IF(OR(C174="",G174=""),"",IF(ISNUMBER(SEARCH(TRIM(G174),INDEX('ผู้รับ-ส่ง'!$Q$9:$Q$13,C174))),"✓ มีสิทธิ์รับ","⚠ ไม่อยู่ในรายชื่อ"))</f>
        <v/>
      </c>
      <c r="J174" s="223" t="n"/>
      <c r="K174" s="223" t="n"/>
      <c r="L174" s="233">
        <f>IF(C174="","",IFERROR(INDEX('ผู้รับ-ส่ง'!$O$9:$O$13,C174)&amp;"",""))</f>
        <v/>
      </c>
    </row>
    <row r="175">
      <c r="A175" s="221" t="n"/>
      <c r="B175" s="221" t="n"/>
      <c r="C175" s="221" t="n"/>
      <c r="D175" s="230">
        <f>IF(C175="","",IFERROR(INDEX('ข้อมูลนักเรียน'!$T$9:$T$13,C175),"ไม่พบเลขที่"))</f>
        <v/>
      </c>
      <c r="E175" s="221" t="n"/>
      <c r="F175" s="231" t="n"/>
      <c r="G175" s="223" t="n"/>
      <c r="H175" s="221" t="n"/>
      <c r="I175" s="232">
        <f>IF(OR(C175="",G175=""),"",IF(ISNUMBER(SEARCH(TRIM(G175),INDEX('ผู้รับ-ส่ง'!$Q$9:$Q$13,C175))),"✓ มีสิทธิ์รับ","⚠ ไม่อยู่ในรายชื่อ"))</f>
        <v/>
      </c>
      <c r="J175" s="223" t="n"/>
      <c r="K175" s="223" t="n"/>
      <c r="L175" s="233">
        <f>IF(C175="","",IFERROR(INDEX('ผู้รับ-ส่ง'!$O$9:$O$13,C175)&amp;"",""))</f>
        <v/>
      </c>
    </row>
    <row r="176">
      <c r="A176" s="221" t="n"/>
      <c r="B176" s="221" t="n"/>
      <c r="C176" s="221" t="n"/>
      <c r="D176" s="230">
        <f>IF(C176="","",IFERROR(INDEX('ข้อมูลนักเรียน'!$T$9:$T$13,C176),"ไม่พบเลขที่"))</f>
        <v/>
      </c>
      <c r="E176" s="221" t="n"/>
      <c r="F176" s="231" t="n"/>
      <c r="G176" s="223" t="n"/>
      <c r="H176" s="221" t="n"/>
      <c r="I176" s="232">
        <f>IF(OR(C176="",G176=""),"",IF(ISNUMBER(SEARCH(TRIM(G176),INDEX('ผู้รับ-ส่ง'!$Q$9:$Q$13,C176))),"✓ มีสิทธิ์รับ","⚠ ไม่อยู่ในรายชื่อ"))</f>
        <v/>
      </c>
      <c r="J176" s="223" t="n"/>
      <c r="K176" s="223" t="n"/>
      <c r="L176" s="233">
        <f>IF(C176="","",IFERROR(INDEX('ผู้รับ-ส่ง'!$O$9:$O$13,C176)&amp;"",""))</f>
        <v/>
      </c>
    </row>
    <row r="177">
      <c r="A177" s="221" t="n"/>
      <c r="B177" s="221" t="n"/>
      <c r="C177" s="221" t="n"/>
      <c r="D177" s="230">
        <f>IF(C177="","",IFERROR(INDEX('ข้อมูลนักเรียน'!$T$9:$T$13,C177),"ไม่พบเลขที่"))</f>
        <v/>
      </c>
      <c r="E177" s="221" t="n"/>
      <c r="F177" s="231" t="n"/>
      <c r="G177" s="223" t="n"/>
      <c r="H177" s="221" t="n"/>
      <c r="I177" s="232">
        <f>IF(OR(C177="",G177=""),"",IF(ISNUMBER(SEARCH(TRIM(G177),INDEX('ผู้รับ-ส่ง'!$Q$9:$Q$13,C177))),"✓ มีสิทธิ์รับ","⚠ ไม่อยู่ในรายชื่อ"))</f>
        <v/>
      </c>
      <c r="J177" s="223" t="n"/>
      <c r="K177" s="223" t="n"/>
      <c r="L177" s="233">
        <f>IF(C177="","",IFERROR(INDEX('ผู้รับ-ส่ง'!$O$9:$O$13,C177)&amp;"",""))</f>
        <v/>
      </c>
    </row>
    <row r="178">
      <c r="A178" s="221" t="n"/>
      <c r="B178" s="221" t="n"/>
      <c r="C178" s="221" t="n"/>
      <c r="D178" s="230">
        <f>IF(C178="","",IFERROR(INDEX('ข้อมูลนักเรียน'!$T$9:$T$13,C178),"ไม่พบเลขที่"))</f>
        <v/>
      </c>
      <c r="E178" s="221" t="n"/>
      <c r="F178" s="231" t="n"/>
      <c r="G178" s="223" t="n"/>
      <c r="H178" s="221" t="n"/>
      <c r="I178" s="232">
        <f>IF(OR(C178="",G178=""),"",IF(ISNUMBER(SEARCH(TRIM(G178),INDEX('ผู้รับ-ส่ง'!$Q$9:$Q$13,C178))),"✓ มีสิทธิ์รับ","⚠ ไม่อยู่ในรายชื่อ"))</f>
        <v/>
      </c>
      <c r="J178" s="223" t="n"/>
      <c r="K178" s="223" t="n"/>
      <c r="L178" s="233">
        <f>IF(C178="","",IFERROR(INDEX('ผู้รับ-ส่ง'!$O$9:$O$13,C178)&amp;"",""))</f>
        <v/>
      </c>
    </row>
    <row r="179">
      <c r="A179" s="221" t="n"/>
      <c r="B179" s="221" t="n"/>
      <c r="C179" s="221" t="n"/>
      <c r="D179" s="230">
        <f>IF(C179="","",IFERROR(INDEX('ข้อมูลนักเรียน'!$T$9:$T$13,C179),"ไม่พบเลขที่"))</f>
        <v/>
      </c>
      <c r="E179" s="221" t="n"/>
      <c r="F179" s="231" t="n"/>
      <c r="G179" s="223" t="n"/>
      <c r="H179" s="221" t="n"/>
      <c r="I179" s="232">
        <f>IF(OR(C179="",G179=""),"",IF(ISNUMBER(SEARCH(TRIM(G179),INDEX('ผู้รับ-ส่ง'!$Q$9:$Q$13,C179))),"✓ มีสิทธิ์รับ","⚠ ไม่อยู่ในรายชื่อ"))</f>
        <v/>
      </c>
      <c r="J179" s="223" t="n"/>
      <c r="K179" s="223" t="n"/>
      <c r="L179" s="233">
        <f>IF(C179="","",IFERROR(INDEX('ผู้รับ-ส่ง'!$O$9:$O$13,C179)&amp;"",""))</f>
        <v/>
      </c>
    </row>
    <row r="180">
      <c r="A180" s="221" t="n"/>
      <c r="B180" s="221" t="n"/>
      <c r="C180" s="221" t="n"/>
      <c r="D180" s="230">
        <f>IF(C180="","",IFERROR(INDEX('ข้อมูลนักเรียน'!$T$9:$T$13,C180),"ไม่พบเลขที่"))</f>
        <v/>
      </c>
      <c r="E180" s="221" t="n"/>
      <c r="F180" s="231" t="n"/>
      <c r="G180" s="223" t="n"/>
      <c r="H180" s="221" t="n"/>
      <c r="I180" s="232">
        <f>IF(OR(C180="",G180=""),"",IF(ISNUMBER(SEARCH(TRIM(G180),INDEX('ผู้รับ-ส่ง'!$Q$9:$Q$13,C180))),"✓ มีสิทธิ์รับ","⚠ ไม่อยู่ในรายชื่อ"))</f>
        <v/>
      </c>
      <c r="J180" s="223" t="n"/>
      <c r="K180" s="223" t="n"/>
      <c r="L180" s="233">
        <f>IF(C180="","",IFERROR(INDEX('ผู้รับ-ส่ง'!$O$9:$O$13,C180)&amp;"",""))</f>
        <v/>
      </c>
    </row>
    <row r="181">
      <c r="A181" s="221" t="n"/>
      <c r="B181" s="221" t="n"/>
      <c r="C181" s="221" t="n"/>
      <c r="D181" s="230">
        <f>IF(C181="","",IFERROR(INDEX('ข้อมูลนักเรียน'!$T$9:$T$13,C181),"ไม่พบเลขที่"))</f>
        <v/>
      </c>
      <c r="E181" s="221" t="n"/>
      <c r="F181" s="231" t="n"/>
      <c r="G181" s="223" t="n"/>
      <c r="H181" s="221" t="n"/>
      <c r="I181" s="232">
        <f>IF(OR(C181="",G181=""),"",IF(ISNUMBER(SEARCH(TRIM(G181),INDEX('ผู้รับ-ส่ง'!$Q$9:$Q$13,C181))),"✓ มีสิทธิ์รับ","⚠ ไม่อยู่ในรายชื่อ"))</f>
        <v/>
      </c>
      <c r="J181" s="223" t="n"/>
      <c r="K181" s="223" t="n"/>
      <c r="L181" s="233">
        <f>IF(C181="","",IFERROR(INDEX('ผู้รับ-ส่ง'!$O$9:$O$13,C181)&amp;"",""))</f>
        <v/>
      </c>
    </row>
    <row r="182">
      <c r="A182" s="221" t="n"/>
      <c r="B182" s="221" t="n"/>
      <c r="C182" s="221" t="n"/>
      <c r="D182" s="230">
        <f>IF(C182="","",IFERROR(INDEX('ข้อมูลนักเรียน'!$T$9:$T$13,C182),"ไม่พบเลขที่"))</f>
        <v/>
      </c>
      <c r="E182" s="221" t="n"/>
      <c r="F182" s="231" t="n"/>
      <c r="G182" s="223" t="n"/>
      <c r="H182" s="221" t="n"/>
      <c r="I182" s="232">
        <f>IF(OR(C182="",G182=""),"",IF(ISNUMBER(SEARCH(TRIM(G182),INDEX('ผู้รับ-ส่ง'!$Q$9:$Q$13,C182))),"✓ มีสิทธิ์รับ","⚠ ไม่อยู่ในรายชื่อ"))</f>
        <v/>
      </c>
      <c r="J182" s="223" t="n"/>
      <c r="K182" s="223" t="n"/>
      <c r="L182" s="233">
        <f>IF(C182="","",IFERROR(INDEX('ผู้รับ-ส่ง'!$O$9:$O$13,C182)&amp;"",""))</f>
        <v/>
      </c>
    </row>
    <row r="183">
      <c r="A183" s="221" t="n"/>
      <c r="B183" s="221" t="n"/>
      <c r="C183" s="221" t="n"/>
      <c r="D183" s="230">
        <f>IF(C183="","",IFERROR(INDEX('ข้อมูลนักเรียน'!$T$9:$T$13,C183),"ไม่พบเลขที่"))</f>
        <v/>
      </c>
      <c r="E183" s="221" t="n"/>
      <c r="F183" s="231" t="n"/>
      <c r="G183" s="223" t="n"/>
      <c r="H183" s="221" t="n"/>
      <c r="I183" s="232">
        <f>IF(OR(C183="",G183=""),"",IF(ISNUMBER(SEARCH(TRIM(G183),INDEX('ผู้รับ-ส่ง'!$Q$9:$Q$13,C183))),"✓ มีสิทธิ์รับ","⚠ ไม่อยู่ในรายชื่อ"))</f>
        <v/>
      </c>
      <c r="J183" s="223" t="n"/>
      <c r="K183" s="223" t="n"/>
      <c r="L183" s="233">
        <f>IF(C183="","",IFERROR(INDEX('ผู้รับ-ส่ง'!$O$9:$O$13,C183)&amp;"",""))</f>
        <v/>
      </c>
    </row>
    <row r="184">
      <c r="A184" s="221" t="n"/>
      <c r="B184" s="221" t="n"/>
      <c r="C184" s="221" t="n"/>
      <c r="D184" s="230">
        <f>IF(C184="","",IFERROR(INDEX('ข้อมูลนักเรียน'!$T$9:$T$13,C184),"ไม่พบเลขที่"))</f>
        <v/>
      </c>
      <c r="E184" s="221" t="n"/>
      <c r="F184" s="231" t="n"/>
      <c r="G184" s="223" t="n"/>
      <c r="H184" s="221" t="n"/>
      <c r="I184" s="232">
        <f>IF(OR(C184="",G184=""),"",IF(ISNUMBER(SEARCH(TRIM(G184),INDEX('ผู้รับ-ส่ง'!$Q$9:$Q$13,C184))),"✓ มีสิทธิ์รับ","⚠ ไม่อยู่ในรายชื่อ"))</f>
        <v/>
      </c>
      <c r="J184" s="223" t="n"/>
      <c r="K184" s="223" t="n"/>
      <c r="L184" s="233">
        <f>IF(C184="","",IFERROR(INDEX('ผู้รับ-ส่ง'!$O$9:$O$13,C184)&amp;"",""))</f>
        <v/>
      </c>
    </row>
    <row r="185">
      <c r="A185" s="221" t="n"/>
      <c r="B185" s="221" t="n"/>
      <c r="C185" s="221" t="n"/>
      <c r="D185" s="230">
        <f>IF(C185="","",IFERROR(INDEX('ข้อมูลนักเรียน'!$T$9:$T$13,C185),"ไม่พบเลขที่"))</f>
        <v/>
      </c>
      <c r="E185" s="221" t="n"/>
      <c r="F185" s="231" t="n"/>
      <c r="G185" s="223" t="n"/>
      <c r="H185" s="221" t="n"/>
      <c r="I185" s="232">
        <f>IF(OR(C185="",G185=""),"",IF(ISNUMBER(SEARCH(TRIM(G185),INDEX('ผู้รับ-ส่ง'!$Q$9:$Q$13,C185))),"✓ มีสิทธิ์รับ","⚠ ไม่อยู่ในรายชื่อ"))</f>
        <v/>
      </c>
      <c r="J185" s="223" t="n"/>
      <c r="K185" s="223" t="n"/>
      <c r="L185" s="233">
        <f>IF(C185="","",IFERROR(INDEX('ผู้รับ-ส่ง'!$O$9:$O$13,C185)&amp;"",""))</f>
        <v/>
      </c>
    </row>
    <row r="186">
      <c r="A186" s="221" t="n"/>
      <c r="B186" s="221" t="n"/>
      <c r="C186" s="221" t="n"/>
      <c r="D186" s="230">
        <f>IF(C186="","",IFERROR(INDEX('ข้อมูลนักเรียน'!$T$9:$T$13,C186),"ไม่พบเลขที่"))</f>
        <v/>
      </c>
      <c r="E186" s="221" t="n"/>
      <c r="F186" s="231" t="n"/>
      <c r="G186" s="223" t="n"/>
      <c r="H186" s="221" t="n"/>
      <c r="I186" s="232">
        <f>IF(OR(C186="",G186=""),"",IF(ISNUMBER(SEARCH(TRIM(G186),INDEX('ผู้รับ-ส่ง'!$Q$9:$Q$13,C186))),"✓ มีสิทธิ์รับ","⚠ ไม่อยู่ในรายชื่อ"))</f>
        <v/>
      </c>
      <c r="J186" s="223" t="n"/>
      <c r="K186" s="223" t="n"/>
      <c r="L186" s="233">
        <f>IF(C186="","",IFERROR(INDEX('ผู้รับ-ส่ง'!$O$9:$O$13,C186)&amp;"",""))</f>
        <v/>
      </c>
    </row>
    <row r="187">
      <c r="A187" s="221" t="n"/>
      <c r="B187" s="221" t="n"/>
      <c r="C187" s="221" t="n"/>
      <c r="D187" s="230">
        <f>IF(C187="","",IFERROR(INDEX('ข้อมูลนักเรียน'!$T$9:$T$13,C187),"ไม่พบเลขที่"))</f>
        <v/>
      </c>
      <c r="E187" s="221" t="n"/>
      <c r="F187" s="231" t="n"/>
      <c r="G187" s="223" t="n"/>
      <c r="H187" s="221" t="n"/>
      <c r="I187" s="232">
        <f>IF(OR(C187="",G187=""),"",IF(ISNUMBER(SEARCH(TRIM(G187),INDEX('ผู้รับ-ส่ง'!$Q$9:$Q$13,C187))),"✓ มีสิทธิ์รับ","⚠ ไม่อยู่ในรายชื่อ"))</f>
        <v/>
      </c>
      <c r="J187" s="223" t="n"/>
      <c r="K187" s="223" t="n"/>
      <c r="L187" s="233">
        <f>IF(C187="","",IFERROR(INDEX('ผู้รับ-ส่ง'!$O$9:$O$13,C187)&amp;"",""))</f>
        <v/>
      </c>
    </row>
    <row r="188">
      <c r="A188" s="221" t="n"/>
      <c r="B188" s="221" t="n"/>
      <c r="C188" s="221" t="n"/>
      <c r="D188" s="230">
        <f>IF(C188="","",IFERROR(INDEX('ข้อมูลนักเรียน'!$T$9:$T$13,C188),"ไม่พบเลขที่"))</f>
        <v/>
      </c>
      <c r="E188" s="221" t="n"/>
      <c r="F188" s="231" t="n"/>
      <c r="G188" s="223" t="n"/>
      <c r="H188" s="221" t="n"/>
      <c r="I188" s="232">
        <f>IF(OR(C188="",G188=""),"",IF(ISNUMBER(SEARCH(TRIM(G188),INDEX('ผู้รับ-ส่ง'!$Q$9:$Q$13,C188))),"✓ มีสิทธิ์รับ","⚠ ไม่อยู่ในรายชื่อ"))</f>
        <v/>
      </c>
      <c r="J188" s="223" t="n"/>
      <c r="K188" s="223" t="n"/>
      <c r="L188" s="233">
        <f>IF(C188="","",IFERROR(INDEX('ผู้รับ-ส่ง'!$O$9:$O$13,C188)&amp;"",""))</f>
        <v/>
      </c>
    </row>
    <row r="189">
      <c r="A189" s="221" t="n"/>
      <c r="B189" s="221" t="n"/>
      <c r="C189" s="221" t="n"/>
      <c r="D189" s="230">
        <f>IF(C189="","",IFERROR(INDEX('ข้อมูลนักเรียน'!$T$9:$T$13,C189),"ไม่พบเลขที่"))</f>
        <v/>
      </c>
      <c r="E189" s="221" t="n"/>
      <c r="F189" s="231" t="n"/>
      <c r="G189" s="223" t="n"/>
      <c r="H189" s="221" t="n"/>
      <c r="I189" s="232">
        <f>IF(OR(C189="",G189=""),"",IF(ISNUMBER(SEARCH(TRIM(G189),INDEX('ผู้รับ-ส่ง'!$Q$9:$Q$13,C189))),"✓ มีสิทธิ์รับ","⚠ ไม่อยู่ในรายชื่อ"))</f>
        <v/>
      </c>
      <c r="J189" s="223" t="n"/>
      <c r="K189" s="223" t="n"/>
      <c r="L189" s="233">
        <f>IF(C189="","",IFERROR(INDEX('ผู้รับ-ส่ง'!$O$9:$O$13,C189)&amp;"",""))</f>
        <v/>
      </c>
    </row>
    <row r="190">
      <c r="A190" s="221" t="n"/>
      <c r="B190" s="221" t="n"/>
      <c r="C190" s="221" t="n"/>
      <c r="D190" s="230">
        <f>IF(C190="","",IFERROR(INDEX('ข้อมูลนักเรียน'!$T$9:$T$13,C190),"ไม่พบเลขที่"))</f>
        <v/>
      </c>
      <c r="E190" s="221" t="n"/>
      <c r="F190" s="231" t="n"/>
      <c r="G190" s="223" t="n"/>
      <c r="H190" s="221" t="n"/>
      <c r="I190" s="232">
        <f>IF(OR(C190="",G190=""),"",IF(ISNUMBER(SEARCH(TRIM(G190),INDEX('ผู้รับ-ส่ง'!$Q$9:$Q$13,C190))),"✓ มีสิทธิ์รับ","⚠ ไม่อยู่ในรายชื่อ"))</f>
        <v/>
      </c>
      <c r="J190" s="223" t="n"/>
      <c r="K190" s="223" t="n"/>
      <c r="L190" s="233">
        <f>IF(C190="","",IFERROR(INDEX('ผู้รับ-ส่ง'!$O$9:$O$13,C190)&amp;"",""))</f>
        <v/>
      </c>
    </row>
    <row r="191">
      <c r="A191" s="221" t="n"/>
      <c r="B191" s="221" t="n"/>
      <c r="C191" s="221" t="n"/>
      <c r="D191" s="230">
        <f>IF(C191="","",IFERROR(INDEX('ข้อมูลนักเรียน'!$T$9:$T$13,C191),"ไม่พบเลขที่"))</f>
        <v/>
      </c>
      <c r="E191" s="221" t="n"/>
      <c r="F191" s="231" t="n"/>
      <c r="G191" s="223" t="n"/>
      <c r="H191" s="221" t="n"/>
      <c r="I191" s="232">
        <f>IF(OR(C191="",G191=""),"",IF(ISNUMBER(SEARCH(TRIM(G191),INDEX('ผู้รับ-ส่ง'!$Q$9:$Q$13,C191))),"✓ มีสิทธิ์รับ","⚠ ไม่อยู่ในรายชื่อ"))</f>
        <v/>
      </c>
      <c r="J191" s="223" t="n"/>
      <c r="K191" s="223" t="n"/>
      <c r="L191" s="233">
        <f>IF(C191="","",IFERROR(INDEX('ผู้รับ-ส่ง'!$O$9:$O$13,C191)&amp;"",""))</f>
        <v/>
      </c>
    </row>
    <row r="192">
      <c r="A192" s="221" t="n"/>
      <c r="B192" s="221" t="n"/>
      <c r="C192" s="221" t="n"/>
      <c r="D192" s="230">
        <f>IF(C192="","",IFERROR(INDEX('ข้อมูลนักเรียน'!$T$9:$T$13,C192),"ไม่พบเลขที่"))</f>
        <v/>
      </c>
      <c r="E192" s="221" t="n"/>
      <c r="F192" s="231" t="n"/>
      <c r="G192" s="223" t="n"/>
      <c r="H192" s="221" t="n"/>
      <c r="I192" s="232">
        <f>IF(OR(C192="",G192=""),"",IF(ISNUMBER(SEARCH(TRIM(G192),INDEX('ผู้รับ-ส่ง'!$Q$9:$Q$13,C192))),"✓ มีสิทธิ์รับ","⚠ ไม่อยู่ในรายชื่อ"))</f>
        <v/>
      </c>
      <c r="J192" s="223" t="n"/>
      <c r="K192" s="223" t="n"/>
      <c r="L192" s="233">
        <f>IF(C192="","",IFERROR(INDEX('ผู้รับ-ส่ง'!$O$9:$O$13,C192)&amp;"",""))</f>
        <v/>
      </c>
    </row>
    <row r="193">
      <c r="A193" s="221" t="n"/>
      <c r="B193" s="221" t="n"/>
      <c r="C193" s="221" t="n"/>
      <c r="D193" s="230">
        <f>IF(C193="","",IFERROR(INDEX('ข้อมูลนักเรียน'!$T$9:$T$13,C193),"ไม่พบเลขที่"))</f>
        <v/>
      </c>
      <c r="E193" s="221" t="n"/>
      <c r="F193" s="231" t="n"/>
      <c r="G193" s="223" t="n"/>
      <c r="H193" s="221" t="n"/>
      <c r="I193" s="232">
        <f>IF(OR(C193="",G193=""),"",IF(ISNUMBER(SEARCH(TRIM(G193),INDEX('ผู้รับ-ส่ง'!$Q$9:$Q$13,C193))),"✓ มีสิทธิ์รับ","⚠ ไม่อยู่ในรายชื่อ"))</f>
        <v/>
      </c>
      <c r="J193" s="223" t="n"/>
      <c r="K193" s="223" t="n"/>
      <c r="L193" s="233">
        <f>IF(C193="","",IFERROR(INDEX('ผู้รับ-ส่ง'!$O$9:$O$13,C193)&amp;"",""))</f>
        <v/>
      </c>
    </row>
    <row r="194">
      <c r="A194" s="221" t="n"/>
      <c r="B194" s="221" t="n"/>
      <c r="C194" s="221" t="n"/>
      <c r="D194" s="230">
        <f>IF(C194="","",IFERROR(INDEX('ข้อมูลนักเรียน'!$T$9:$T$13,C194),"ไม่พบเลขที่"))</f>
        <v/>
      </c>
      <c r="E194" s="221" t="n"/>
      <c r="F194" s="231" t="n"/>
      <c r="G194" s="223" t="n"/>
      <c r="H194" s="221" t="n"/>
      <c r="I194" s="232">
        <f>IF(OR(C194="",G194=""),"",IF(ISNUMBER(SEARCH(TRIM(G194),INDEX('ผู้รับ-ส่ง'!$Q$9:$Q$13,C194))),"✓ มีสิทธิ์รับ","⚠ ไม่อยู่ในรายชื่อ"))</f>
        <v/>
      </c>
      <c r="J194" s="223" t="n"/>
      <c r="K194" s="223" t="n"/>
      <c r="L194" s="233">
        <f>IF(C194="","",IFERROR(INDEX('ผู้รับ-ส่ง'!$O$9:$O$13,C194)&amp;"",""))</f>
        <v/>
      </c>
    </row>
    <row r="195">
      <c r="A195" s="221" t="n"/>
      <c r="B195" s="221" t="n"/>
      <c r="C195" s="221" t="n"/>
      <c r="D195" s="230">
        <f>IF(C195="","",IFERROR(INDEX('ข้อมูลนักเรียน'!$T$9:$T$13,C195),"ไม่พบเลขที่"))</f>
        <v/>
      </c>
      <c r="E195" s="221" t="n"/>
      <c r="F195" s="231" t="n"/>
      <c r="G195" s="223" t="n"/>
      <c r="H195" s="221" t="n"/>
      <c r="I195" s="232">
        <f>IF(OR(C195="",G195=""),"",IF(ISNUMBER(SEARCH(TRIM(G195),INDEX('ผู้รับ-ส่ง'!$Q$9:$Q$13,C195))),"✓ มีสิทธิ์รับ","⚠ ไม่อยู่ในรายชื่อ"))</f>
        <v/>
      </c>
      <c r="J195" s="223" t="n"/>
      <c r="K195" s="223" t="n"/>
      <c r="L195" s="233">
        <f>IF(C195="","",IFERROR(INDEX('ผู้รับ-ส่ง'!$O$9:$O$13,C195)&amp;"",""))</f>
        <v/>
      </c>
    </row>
    <row r="196">
      <c r="A196" s="221" t="n"/>
      <c r="B196" s="221" t="n"/>
      <c r="C196" s="221" t="n"/>
      <c r="D196" s="230">
        <f>IF(C196="","",IFERROR(INDEX('ข้อมูลนักเรียน'!$T$9:$T$13,C196),"ไม่พบเลขที่"))</f>
        <v/>
      </c>
      <c r="E196" s="221" t="n"/>
      <c r="F196" s="231" t="n"/>
      <c r="G196" s="223" t="n"/>
      <c r="H196" s="221" t="n"/>
      <c r="I196" s="232">
        <f>IF(OR(C196="",G196=""),"",IF(ISNUMBER(SEARCH(TRIM(G196),INDEX('ผู้รับ-ส่ง'!$Q$9:$Q$13,C196))),"✓ มีสิทธิ์รับ","⚠ ไม่อยู่ในรายชื่อ"))</f>
        <v/>
      </c>
      <c r="J196" s="223" t="n"/>
      <c r="K196" s="223" t="n"/>
      <c r="L196" s="233">
        <f>IF(C196="","",IFERROR(INDEX('ผู้รับ-ส่ง'!$O$9:$O$13,C196)&amp;"",""))</f>
        <v/>
      </c>
    </row>
    <row r="197">
      <c r="A197" s="221" t="n"/>
      <c r="B197" s="221" t="n"/>
      <c r="C197" s="221" t="n"/>
      <c r="D197" s="230">
        <f>IF(C197="","",IFERROR(INDEX('ข้อมูลนักเรียน'!$T$9:$T$13,C197),"ไม่พบเลขที่"))</f>
        <v/>
      </c>
      <c r="E197" s="221" t="n"/>
      <c r="F197" s="231" t="n"/>
      <c r="G197" s="223" t="n"/>
      <c r="H197" s="221" t="n"/>
      <c r="I197" s="232">
        <f>IF(OR(C197="",G197=""),"",IF(ISNUMBER(SEARCH(TRIM(G197),INDEX('ผู้รับ-ส่ง'!$Q$9:$Q$13,C197))),"✓ มีสิทธิ์รับ","⚠ ไม่อยู่ในรายชื่อ"))</f>
        <v/>
      </c>
      <c r="J197" s="223" t="n"/>
      <c r="K197" s="223" t="n"/>
      <c r="L197" s="233">
        <f>IF(C197="","",IFERROR(INDEX('ผู้รับ-ส่ง'!$O$9:$O$13,C197)&amp;"",""))</f>
        <v/>
      </c>
    </row>
    <row r="198">
      <c r="A198" s="221" t="n"/>
      <c r="B198" s="221" t="n"/>
      <c r="C198" s="221" t="n"/>
      <c r="D198" s="230">
        <f>IF(C198="","",IFERROR(INDEX('ข้อมูลนักเรียน'!$T$9:$T$13,C198),"ไม่พบเลขที่"))</f>
        <v/>
      </c>
      <c r="E198" s="221" t="n"/>
      <c r="F198" s="231" t="n"/>
      <c r="G198" s="223" t="n"/>
      <c r="H198" s="221" t="n"/>
      <c r="I198" s="232">
        <f>IF(OR(C198="",G198=""),"",IF(ISNUMBER(SEARCH(TRIM(G198),INDEX('ผู้รับ-ส่ง'!$Q$9:$Q$13,C198))),"✓ มีสิทธิ์รับ","⚠ ไม่อยู่ในรายชื่อ"))</f>
        <v/>
      </c>
      <c r="J198" s="223" t="n"/>
      <c r="K198" s="223" t="n"/>
      <c r="L198" s="233">
        <f>IF(C198="","",IFERROR(INDEX('ผู้รับ-ส่ง'!$O$9:$O$13,C198)&amp;"",""))</f>
        <v/>
      </c>
    </row>
    <row r="199">
      <c r="A199" s="221" t="n"/>
      <c r="B199" s="221" t="n"/>
      <c r="C199" s="221" t="n"/>
      <c r="D199" s="230">
        <f>IF(C199="","",IFERROR(INDEX('ข้อมูลนักเรียน'!$T$9:$T$13,C199),"ไม่พบเลขที่"))</f>
        <v/>
      </c>
      <c r="E199" s="221" t="n"/>
      <c r="F199" s="231" t="n"/>
      <c r="G199" s="223" t="n"/>
      <c r="H199" s="221" t="n"/>
      <c r="I199" s="232">
        <f>IF(OR(C199="",G199=""),"",IF(ISNUMBER(SEARCH(TRIM(G199),INDEX('ผู้รับ-ส่ง'!$Q$9:$Q$13,C199))),"✓ มีสิทธิ์รับ","⚠ ไม่อยู่ในรายชื่อ"))</f>
        <v/>
      </c>
      <c r="J199" s="223" t="n"/>
      <c r="K199" s="223" t="n"/>
      <c r="L199" s="233">
        <f>IF(C199="","",IFERROR(INDEX('ผู้รับ-ส่ง'!$O$9:$O$13,C199)&amp;"",""))</f>
        <v/>
      </c>
    </row>
    <row r="200">
      <c r="A200" s="221" t="n"/>
      <c r="B200" s="221" t="n"/>
      <c r="C200" s="221" t="n"/>
      <c r="D200" s="230">
        <f>IF(C200="","",IFERROR(INDEX('ข้อมูลนักเรียน'!$T$9:$T$13,C200),"ไม่พบเลขที่"))</f>
        <v/>
      </c>
      <c r="E200" s="221" t="n"/>
      <c r="F200" s="231" t="n"/>
      <c r="G200" s="223" t="n"/>
      <c r="H200" s="221" t="n"/>
      <c r="I200" s="232">
        <f>IF(OR(C200="",G200=""),"",IF(ISNUMBER(SEARCH(TRIM(G200),INDEX('ผู้รับ-ส่ง'!$Q$9:$Q$13,C200))),"✓ มีสิทธิ์รับ","⚠ ไม่อยู่ในรายชื่อ"))</f>
        <v/>
      </c>
      <c r="J200" s="223" t="n"/>
      <c r="K200" s="223" t="n"/>
      <c r="L200" s="233">
        <f>IF(C200="","",IFERROR(INDEX('ผู้รับ-ส่ง'!$O$9:$O$13,C200)&amp;"",""))</f>
        <v/>
      </c>
    </row>
    <row r="201">
      <c r="A201" s="221" t="n"/>
      <c r="B201" s="221" t="n"/>
      <c r="C201" s="221" t="n"/>
      <c r="D201" s="230">
        <f>IF(C201="","",IFERROR(INDEX('ข้อมูลนักเรียน'!$T$9:$T$13,C201),"ไม่พบเลขที่"))</f>
        <v/>
      </c>
      <c r="E201" s="221" t="n"/>
      <c r="F201" s="231" t="n"/>
      <c r="G201" s="223" t="n"/>
      <c r="H201" s="221" t="n"/>
      <c r="I201" s="232">
        <f>IF(OR(C201="",G201=""),"",IF(ISNUMBER(SEARCH(TRIM(G201),INDEX('ผู้รับ-ส่ง'!$Q$9:$Q$13,C201))),"✓ มีสิทธิ์รับ","⚠ ไม่อยู่ในรายชื่อ"))</f>
        <v/>
      </c>
      <c r="J201" s="223" t="n"/>
      <c r="K201" s="223" t="n"/>
      <c r="L201" s="233">
        <f>IF(C201="","",IFERROR(INDEX('ผู้รับ-ส่ง'!$O$9:$O$13,C201)&amp;"",""))</f>
        <v/>
      </c>
    </row>
    <row r="202">
      <c r="A202" s="221" t="n"/>
      <c r="B202" s="221" t="n"/>
      <c r="C202" s="221" t="n"/>
      <c r="D202" s="230">
        <f>IF(C202="","",IFERROR(INDEX('ข้อมูลนักเรียน'!$T$9:$T$13,C202),"ไม่พบเลขที่"))</f>
        <v/>
      </c>
      <c r="E202" s="221" t="n"/>
      <c r="F202" s="231" t="n"/>
      <c r="G202" s="223" t="n"/>
      <c r="H202" s="221" t="n"/>
      <c r="I202" s="232">
        <f>IF(OR(C202="",G202=""),"",IF(ISNUMBER(SEARCH(TRIM(G202),INDEX('ผู้รับ-ส่ง'!$Q$9:$Q$13,C202))),"✓ มีสิทธิ์รับ","⚠ ไม่อยู่ในรายชื่อ"))</f>
        <v/>
      </c>
      <c r="J202" s="223" t="n"/>
      <c r="K202" s="223" t="n"/>
      <c r="L202" s="233">
        <f>IF(C202="","",IFERROR(INDEX('ผู้รับ-ส่ง'!$O$9:$O$13,C202)&amp;"",""))</f>
        <v/>
      </c>
    </row>
    <row r="203">
      <c r="A203" s="221" t="n"/>
      <c r="B203" s="221" t="n"/>
      <c r="C203" s="221" t="n"/>
      <c r="D203" s="230">
        <f>IF(C203="","",IFERROR(INDEX('ข้อมูลนักเรียน'!$T$9:$T$13,C203),"ไม่พบเลขที่"))</f>
        <v/>
      </c>
      <c r="E203" s="221" t="n"/>
      <c r="F203" s="231" t="n"/>
      <c r="G203" s="223" t="n"/>
      <c r="H203" s="221" t="n"/>
      <c r="I203" s="232">
        <f>IF(OR(C203="",G203=""),"",IF(ISNUMBER(SEARCH(TRIM(G203),INDEX('ผู้รับ-ส่ง'!$Q$9:$Q$13,C203))),"✓ มีสิทธิ์รับ","⚠ ไม่อยู่ในรายชื่อ"))</f>
        <v/>
      </c>
      <c r="J203" s="223" t="n"/>
      <c r="K203" s="223" t="n"/>
      <c r="L203" s="233">
        <f>IF(C203="","",IFERROR(INDEX('ผู้รับ-ส่ง'!$O$9:$O$13,C203)&amp;"",""))</f>
        <v/>
      </c>
    </row>
    <row r="204">
      <c r="A204" s="221" t="n"/>
      <c r="B204" s="221" t="n"/>
      <c r="C204" s="221" t="n"/>
      <c r="D204" s="230">
        <f>IF(C204="","",IFERROR(INDEX('ข้อมูลนักเรียน'!$T$9:$T$13,C204),"ไม่พบเลขที่"))</f>
        <v/>
      </c>
      <c r="E204" s="221" t="n"/>
      <c r="F204" s="231" t="n"/>
      <c r="G204" s="223" t="n"/>
      <c r="H204" s="221" t="n"/>
      <c r="I204" s="232">
        <f>IF(OR(C204="",G204=""),"",IF(ISNUMBER(SEARCH(TRIM(G204),INDEX('ผู้รับ-ส่ง'!$Q$9:$Q$13,C204))),"✓ มีสิทธิ์รับ","⚠ ไม่อยู่ในรายชื่อ"))</f>
        <v/>
      </c>
      <c r="J204" s="223" t="n"/>
      <c r="K204" s="223" t="n"/>
      <c r="L204" s="233">
        <f>IF(C204="","",IFERROR(INDEX('ผู้รับ-ส่ง'!$O$9:$O$13,C204)&amp;"",""))</f>
        <v/>
      </c>
    </row>
    <row r="205">
      <c r="A205" s="221" t="n"/>
      <c r="B205" s="221" t="n"/>
      <c r="C205" s="221" t="n"/>
      <c r="D205" s="230">
        <f>IF(C205="","",IFERROR(INDEX('ข้อมูลนักเรียน'!$T$9:$T$13,C205),"ไม่พบเลขที่"))</f>
        <v/>
      </c>
      <c r="E205" s="221" t="n"/>
      <c r="F205" s="231" t="n"/>
      <c r="G205" s="223" t="n"/>
      <c r="H205" s="221" t="n"/>
      <c r="I205" s="232">
        <f>IF(OR(C205="",G205=""),"",IF(ISNUMBER(SEARCH(TRIM(G205),INDEX('ผู้รับ-ส่ง'!$Q$9:$Q$13,C205))),"✓ มีสิทธิ์รับ","⚠ ไม่อยู่ในรายชื่อ"))</f>
        <v/>
      </c>
      <c r="J205" s="223" t="n"/>
      <c r="K205" s="223" t="n"/>
      <c r="L205" s="233">
        <f>IF(C205="","",IFERROR(INDEX('ผู้รับ-ส่ง'!$O$9:$O$13,C205)&amp;"",""))</f>
        <v/>
      </c>
    </row>
    <row r="206">
      <c r="A206" s="221" t="n"/>
      <c r="B206" s="221" t="n"/>
      <c r="C206" s="221" t="n"/>
      <c r="D206" s="230">
        <f>IF(C206="","",IFERROR(INDEX('ข้อมูลนักเรียน'!$T$9:$T$13,C206),"ไม่พบเลขที่"))</f>
        <v/>
      </c>
      <c r="E206" s="221" t="n"/>
      <c r="F206" s="231" t="n"/>
      <c r="G206" s="223" t="n"/>
      <c r="H206" s="221" t="n"/>
      <c r="I206" s="232">
        <f>IF(OR(C206="",G206=""),"",IF(ISNUMBER(SEARCH(TRIM(G206),INDEX('ผู้รับ-ส่ง'!$Q$9:$Q$13,C206))),"✓ มีสิทธิ์รับ","⚠ ไม่อยู่ในรายชื่อ"))</f>
        <v/>
      </c>
      <c r="J206" s="223" t="n"/>
      <c r="K206" s="223" t="n"/>
      <c r="L206" s="233">
        <f>IF(C206="","",IFERROR(INDEX('ผู้รับ-ส่ง'!$O$9:$O$13,C206)&amp;"",""))</f>
        <v/>
      </c>
    </row>
    <row r="207">
      <c r="A207" s="221" t="n"/>
      <c r="B207" s="221" t="n"/>
      <c r="C207" s="221" t="n"/>
      <c r="D207" s="230">
        <f>IF(C207="","",IFERROR(INDEX('ข้อมูลนักเรียน'!$T$9:$T$13,C207),"ไม่พบเลขที่"))</f>
        <v/>
      </c>
      <c r="E207" s="221" t="n"/>
      <c r="F207" s="231" t="n"/>
      <c r="G207" s="223" t="n"/>
      <c r="H207" s="221" t="n"/>
      <c r="I207" s="232">
        <f>IF(OR(C207="",G207=""),"",IF(ISNUMBER(SEARCH(TRIM(G207),INDEX('ผู้รับ-ส่ง'!$Q$9:$Q$13,C207))),"✓ มีสิทธิ์รับ","⚠ ไม่อยู่ในรายชื่อ"))</f>
        <v/>
      </c>
      <c r="J207" s="223" t="n"/>
      <c r="K207" s="223" t="n"/>
      <c r="L207" s="233">
        <f>IF(C207="","",IFERROR(INDEX('ผู้รับ-ส่ง'!$O$9:$O$13,C207)&amp;"",""))</f>
        <v/>
      </c>
    </row>
    <row r="208">
      <c r="A208" s="221" t="n"/>
      <c r="B208" s="221" t="n"/>
      <c r="C208" s="221" t="n"/>
      <c r="D208" s="230">
        <f>IF(C208="","",IFERROR(INDEX('ข้อมูลนักเรียน'!$T$9:$T$13,C208),"ไม่พบเลขที่"))</f>
        <v/>
      </c>
      <c r="E208" s="221" t="n"/>
      <c r="F208" s="231" t="n"/>
      <c r="G208" s="223" t="n"/>
      <c r="H208" s="221" t="n"/>
      <c r="I208" s="232">
        <f>IF(OR(C208="",G208=""),"",IF(ISNUMBER(SEARCH(TRIM(G208),INDEX('ผู้รับ-ส่ง'!$Q$9:$Q$13,C208))),"✓ มีสิทธิ์รับ","⚠ ไม่อยู่ในรายชื่อ"))</f>
        <v/>
      </c>
      <c r="J208" s="223" t="n"/>
      <c r="K208" s="223" t="n"/>
      <c r="L208" s="233">
        <f>IF(C208="","",IFERROR(INDEX('ผู้รับ-ส่ง'!$O$9:$O$13,C208)&amp;"",""))</f>
        <v/>
      </c>
    </row>
    <row r="209">
      <c r="A209" s="221" t="n"/>
      <c r="B209" s="221" t="n"/>
      <c r="C209" s="221" t="n"/>
      <c r="D209" s="230">
        <f>IF(C209="","",IFERROR(INDEX('ข้อมูลนักเรียน'!$T$9:$T$13,C209),"ไม่พบเลขที่"))</f>
        <v/>
      </c>
      <c r="E209" s="221" t="n"/>
      <c r="F209" s="231" t="n"/>
      <c r="G209" s="223" t="n"/>
      <c r="H209" s="221" t="n"/>
      <c r="I209" s="232">
        <f>IF(OR(C209="",G209=""),"",IF(ISNUMBER(SEARCH(TRIM(G209),INDEX('ผู้รับ-ส่ง'!$Q$9:$Q$13,C209))),"✓ มีสิทธิ์รับ","⚠ ไม่อยู่ในรายชื่อ"))</f>
        <v/>
      </c>
      <c r="J209" s="223" t="n"/>
      <c r="K209" s="223" t="n"/>
      <c r="L209" s="233">
        <f>IF(C209="","",IFERROR(INDEX('ผู้รับ-ส่ง'!$O$9:$O$13,C209)&amp;"",""))</f>
        <v/>
      </c>
    </row>
    <row r="210">
      <c r="A210" s="221" t="n"/>
      <c r="B210" s="221" t="n"/>
      <c r="C210" s="221" t="n"/>
      <c r="D210" s="230">
        <f>IF(C210="","",IFERROR(INDEX('ข้อมูลนักเรียน'!$T$9:$T$13,C210),"ไม่พบเลขที่"))</f>
        <v/>
      </c>
      <c r="E210" s="221" t="n"/>
      <c r="F210" s="231" t="n"/>
      <c r="G210" s="223" t="n"/>
      <c r="H210" s="221" t="n"/>
      <c r="I210" s="232">
        <f>IF(OR(C210="",G210=""),"",IF(ISNUMBER(SEARCH(TRIM(G210),INDEX('ผู้รับ-ส่ง'!$Q$9:$Q$13,C210))),"✓ มีสิทธิ์รับ","⚠ ไม่อยู่ในรายชื่อ"))</f>
        <v/>
      </c>
      <c r="J210" s="223" t="n"/>
      <c r="K210" s="223" t="n"/>
      <c r="L210" s="233">
        <f>IF(C210="","",IFERROR(INDEX('ผู้รับ-ส่ง'!$O$9:$O$13,C210)&amp;"",""))</f>
        <v/>
      </c>
    </row>
    <row r="211">
      <c r="A211" s="221" t="n"/>
      <c r="B211" s="221" t="n"/>
      <c r="C211" s="221" t="n"/>
      <c r="D211" s="230">
        <f>IF(C211="","",IFERROR(INDEX('ข้อมูลนักเรียน'!$T$9:$T$13,C211),"ไม่พบเลขที่"))</f>
        <v/>
      </c>
      <c r="E211" s="221" t="n"/>
      <c r="F211" s="231" t="n"/>
      <c r="G211" s="223" t="n"/>
      <c r="H211" s="221" t="n"/>
      <c r="I211" s="232">
        <f>IF(OR(C211="",G211=""),"",IF(ISNUMBER(SEARCH(TRIM(G211),INDEX('ผู้รับ-ส่ง'!$Q$9:$Q$13,C211))),"✓ มีสิทธิ์รับ","⚠ ไม่อยู่ในรายชื่อ"))</f>
        <v/>
      </c>
      <c r="J211" s="223" t="n"/>
      <c r="K211" s="223" t="n"/>
      <c r="L211" s="233">
        <f>IF(C211="","",IFERROR(INDEX('ผู้รับ-ส่ง'!$O$9:$O$13,C211)&amp;"",""))</f>
        <v/>
      </c>
    </row>
    <row r="212">
      <c r="A212" s="221" t="n"/>
      <c r="B212" s="221" t="n"/>
      <c r="C212" s="221" t="n"/>
      <c r="D212" s="230">
        <f>IF(C212="","",IFERROR(INDEX('ข้อมูลนักเรียน'!$T$9:$T$13,C212),"ไม่พบเลขที่"))</f>
        <v/>
      </c>
      <c r="E212" s="221" t="n"/>
      <c r="F212" s="231" t="n"/>
      <c r="G212" s="223" t="n"/>
      <c r="H212" s="221" t="n"/>
      <c r="I212" s="232">
        <f>IF(OR(C212="",G212=""),"",IF(ISNUMBER(SEARCH(TRIM(G212),INDEX('ผู้รับ-ส่ง'!$Q$9:$Q$13,C212))),"✓ มีสิทธิ์รับ","⚠ ไม่อยู่ในรายชื่อ"))</f>
        <v/>
      </c>
      <c r="J212" s="223" t="n"/>
      <c r="K212" s="223" t="n"/>
      <c r="L212" s="233">
        <f>IF(C212="","",IFERROR(INDEX('ผู้รับ-ส่ง'!$O$9:$O$13,C212)&amp;"",""))</f>
        <v/>
      </c>
    </row>
    <row r="213">
      <c r="A213" s="221" t="n"/>
      <c r="B213" s="221" t="n"/>
      <c r="C213" s="221" t="n"/>
      <c r="D213" s="230">
        <f>IF(C213="","",IFERROR(INDEX('ข้อมูลนักเรียน'!$T$9:$T$13,C213),"ไม่พบเลขที่"))</f>
        <v/>
      </c>
      <c r="E213" s="221" t="n"/>
      <c r="F213" s="231" t="n"/>
      <c r="G213" s="223" t="n"/>
      <c r="H213" s="221" t="n"/>
      <c r="I213" s="232">
        <f>IF(OR(C213="",G213=""),"",IF(ISNUMBER(SEARCH(TRIM(G213),INDEX('ผู้รับ-ส่ง'!$Q$9:$Q$13,C213))),"✓ มีสิทธิ์รับ","⚠ ไม่อยู่ในรายชื่อ"))</f>
        <v/>
      </c>
      <c r="J213" s="223" t="n"/>
      <c r="K213" s="223" t="n"/>
      <c r="L213" s="233">
        <f>IF(C213="","",IFERROR(INDEX('ผู้รับ-ส่ง'!$O$9:$O$13,C213)&amp;"",""))</f>
        <v/>
      </c>
    </row>
    <row r="214">
      <c r="A214" s="221" t="n"/>
      <c r="B214" s="221" t="n"/>
      <c r="C214" s="221" t="n"/>
      <c r="D214" s="230">
        <f>IF(C214="","",IFERROR(INDEX('ข้อมูลนักเรียน'!$T$9:$T$13,C214),"ไม่พบเลขที่"))</f>
        <v/>
      </c>
      <c r="E214" s="221" t="n"/>
      <c r="F214" s="231" t="n"/>
      <c r="G214" s="223" t="n"/>
      <c r="H214" s="221" t="n"/>
      <c r="I214" s="232">
        <f>IF(OR(C214="",G214=""),"",IF(ISNUMBER(SEARCH(TRIM(G214),INDEX('ผู้รับ-ส่ง'!$Q$9:$Q$13,C214))),"✓ มีสิทธิ์รับ","⚠ ไม่อยู่ในรายชื่อ"))</f>
        <v/>
      </c>
      <c r="J214" s="223" t="n"/>
      <c r="K214" s="223" t="n"/>
      <c r="L214" s="233">
        <f>IF(C214="","",IFERROR(INDEX('ผู้รับ-ส่ง'!$O$9:$O$13,C214)&amp;"",""))</f>
        <v/>
      </c>
    </row>
    <row r="215">
      <c r="A215" s="221" t="n"/>
      <c r="B215" s="221" t="n"/>
      <c r="C215" s="221" t="n"/>
      <c r="D215" s="230">
        <f>IF(C215="","",IFERROR(INDEX('ข้อมูลนักเรียน'!$T$9:$T$13,C215),"ไม่พบเลขที่"))</f>
        <v/>
      </c>
      <c r="E215" s="221" t="n"/>
      <c r="F215" s="231" t="n"/>
      <c r="G215" s="223" t="n"/>
      <c r="H215" s="221" t="n"/>
      <c r="I215" s="232">
        <f>IF(OR(C215="",G215=""),"",IF(ISNUMBER(SEARCH(TRIM(G215),INDEX('ผู้รับ-ส่ง'!$Q$9:$Q$13,C215))),"✓ มีสิทธิ์รับ","⚠ ไม่อยู่ในรายชื่อ"))</f>
        <v/>
      </c>
      <c r="J215" s="223" t="n"/>
      <c r="K215" s="223" t="n"/>
      <c r="L215" s="233">
        <f>IF(C215="","",IFERROR(INDEX('ผู้รับ-ส่ง'!$O$9:$O$13,C215)&amp;"",""))</f>
        <v/>
      </c>
    </row>
    <row r="216">
      <c r="A216" s="221" t="n"/>
      <c r="B216" s="221" t="n"/>
      <c r="C216" s="221" t="n"/>
      <c r="D216" s="230">
        <f>IF(C216="","",IFERROR(INDEX('ข้อมูลนักเรียน'!$T$9:$T$13,C216),"ไม่พบเลขที่"))</f>
        <v/>
      </c>
      <c r="E216" s="221" t="n"/>
      <c r="F216" s="231" t="n"/>
      <c r="G216" s="223" t="n"/>
      <c r="H216" s="221" t="n"/>
      <c r="I216" s="232">
        <f>IF(OR(C216="",G216=""),"",IF(ISNUMBER(SEARCH(TRIM(G216),INDEX('ผู้รับ-ส่ง'!$Q$9:$Q$13,C216))),"✓ มีสิทธิ์รับ","⚠ ไม่อยู่ในรายชื่อ"))</f>
        <v/>
      </c>
      <c r="J216" s="223" t="n"/>
      <c r="K216" s="223" t="n"/>
      <c r="L216" s="233">
        <f>IF(C216="","",IFERROR(INDEX('ผู้รับ-ส่ง'!$O$9:$O$13,C216)&amp;"",""))</f>
        <v/>
      </c>
    </row>
    <row r="217">
      <c r="A217" s="221" t="n"/>
      <c r="B217" s="221" t="n"/>
      <c r="C217" s="221" t="n"/>
      <c r="D217" s="230">
        <f>IF(C217="","",IFERROR(INDEX('ข้อมูลนักเรียน'!$T$9:$T$13,C217),"ไม่พบเลขที่"))</f>
        <v/>
      </c>
      <c r="E217" s="221" t="n"/>
      <c r="F217" s="231" t="n"/>
      <c r="G217" s="223" t="n"/>
      <c r="H217" s="221" t="n"/>
      <c r="I217" s="232">
        <f>IF(OR(C217="",G217=""),"",IF(ISNUMBER(SEARCH(TRIM(G217),INDEX('ผู้รับ-ส่ง'!$Q$9:$Q$13,C217))),"✓ มีสิทธิ์รับ","⚠ ไม่อยู่ในรายชื่อ"))</f>
        <v/>
      </c>
      <c r="J217" s="223" t="n"/>
      <c r="K217" s="223" t="n"/>
      <c r="L217" s="233">
        <f>IF(C217="","",IFERROR(INDEX('ผู้รับ-ส่ง'!$O$9:$O$13,C217)&amp;"",""))</f>
        <v/>
      </c>
    </row>
    <row r="218">
      <c r="A218" s="221" t="n"/>
      <c r="B218" s="221" t="n"/>
      <c r="C218" s="221" t="n"/>
      <c r="D218" s="230">
        <f>IF(C218="","",IFERROR(INDEX('ข้อมูลนักเรียน'!$T$9:$T$13,C218),"ไม่พบเลขที่"))</f>
        <v/>
      </c>
      <c r="E218" s="221" t="n"/>
      <c r="F218" s="231" t="n"/>
      <c r="G218" s="223" t="n"/>
      <c r="H218" s="221" t="n"/>
      <c r="I218" s="232">
        <f>IF(OR(C218="",G218=""),"",IF(ISNUMBER(SEARCH(TRIM(G218),INDEX('ผู้รับ-ส่ง'!$Q$9:$Q$13,C218))),"✓ มีสิทธิ์รับ","⚠ ไม่อยู่ในรายชื่อ"))</f>
        <v/>
      </c>
      <c r="J218" s="223" t="n"/>
      <c r="K218" s="223" t="n"/>
      <c r="L218" s="233">
        <f>IF(C218="","",IFERROR(INDEX('ผู้รับ-ส่ง'!$O$9:$O$13,C218)&amp;"",""))</f>
        <v/>
      </c>
    </row>
    <row r="219">
      <c r="A219" s="221" t="n"/>
      <c r="B219" s="221" t="n"/>
      <c r="C219" s="221" t="n"/>
      <c r="D219" s="230">
        <f>IF(C219="","",IFERROR(INDEX('ข้อมูลนักเรียน'!$T$9:$T$13,C219),"ไม่พบเลขที่"))</f>
        <v/>
      </c>
      <c r="E219" s="221" t="n"/>
      <c r="F219" s="231" t="n"/>
      <c r="G219" s="223" t="n"/>
      <c r="H219" s="221" t="n"/>
      <c r="I219" s="232">
        <f>IF(OR(C219="",G219=""),"",IF(ISNUMBER(SEARCH(TRIM(G219),INDEX('ผู้รับ-ส่ง'!$Q$9:$Q$13,C219))),"✓ มีสิทธิ์รับ","⚠ ไม่อยู่ในรายชื่อ"))</f>
        <v/>
      </c>
      <c r="J219" s="223" t="n"/>
      <c r="K219" s="223" t="n"/>
      <c r="L219" s="233">
        <f>IF(C219="","",IFERROR(INDEX('ผู้รับ-ส่ง'!$O$9:$O$13,C219)&amp;"",""))</f>
        <v/>
      </c>
    </row>
    <row r="220">
      <c r="A220" s="221" t="n"/>
      <c r="B220" s="221" t="n"/>
      <c r="C220" s="221" t="n"/>
      <c r="D220" s="230">
        <f>IF(C220="","",IFERROR(INDEX('ข้อมูลนักเรียน'!$T$9:$T$13,C220),"ไม่พบเลขที่"))</f>
        <v/>
      </c>
      <c r="E220" s="221" t="n"/>
      <c r="F220" s="231" t="n"/>
      <c r="G220" s="223" t="n"/>
      <c r="H220" s="221" t="n"/>
      <c r="I220" s="232">
        <f>IF(OR(C220="",G220=""),"",IF(ISNUMBER(SEARCH(TRIM(G220),INDEX('ผู้รับ-ส่ง'!$Q$9:$Q$13,C220))),"✓ มีสิทธิ์รับ","⚠ ไม่อยู่ในรายชื่อ"))</f>
        <v/>
      </c>
      <c r="J220" s="223" t="n"/>
      <c r="K220" s="223" t="n"/>
      <c r="L220" s="233">
        <f>IF(C220="","",IFERROR(INDEX('ผู้รับ-ส่ง'!$O$9:$O$13,C220)&amp;"",""))</f>
        <v/>
      </c>
    </row>
    <row r="221">
      <c r="A221" s="221" t="n"/>
      <c r="B221" s="221" t="n"/>
      <c r="C221" s="221" t="n"/>
      <c r="D221" s="230">
        <f>IF(C221="","",IFERROR(INDEX('ข้อมูลนักเรียน'!$T$9:$T$13,C221),"ไม่พบเลขที่"))</f>
        <v/>
      </c>
      <c r="E221" s="221" t="n"/>
      <c r="F221" s="231" t="n"/>
      <c r="G221" s="223" t="n"/>
      <c r="H221" s="221" t="n"/>
      <c r="I221" s="232">
        <f>IF(OR(C221="",G221=""),"",IF(ISNUMBER(SEARCH(TRIM(G221),INDEX('ผู้รับ-ส่ง'!$Q$9:$Q$13,C221))),"✓ มีสิทธิ์รับ","⚠ ไม่อยู่ในรายชื่อ"))</f>
        <v/>
      </c>
      <c r="J221" s="223" t="n"/>
      <c r="K221" s="223" t="n"/>
      <c r="L221" s="233">
        <f>IF(C221="","",IFERROR(INDEX('ผู้รับ-ส่ง'!$O$9:$O$13,C221)&amp;"",""))</f>
        <v/>
      </c>
    </row>
    <row r="222">
      <c r="A222" s="221" t="n"/>
      <c r="B222" s="221" t="n"/>
      <c r="C222" s="221" t="n"/>
      <c r="D222" s="230">
        <f>IF(C222="","",IFERROR(INDEX('ข้อมูลนักเรียน'!$T$9:$T$13,C222),"ไม่พบเลขที่"))</f>
        <v/>
      </c>
      <c r="E222" s="221" t="n"/>
      <c r="F222" s="231" t="n"/>
      <c r="G222" s="223" t="n"/>
      <c r="H222" s="221" t="n"/>
      <c r="I222" s="232">
        <f>IF(OR(C222="",G222=""),"",IF(ISNUMBER(SEARCH(TRIM(G222),INDEX('ผู้รับ-ส่ง'!$Q$9:$Q$13,C222))),"✓ มีสิทธิ์รับ","⚠ ไม่อยู่ในรายชื่อ"))</f>
        <v/>
      </c>
      <c r="J222" s="223" t="n"/>
      <c r="K222" s="223" t="n"/>
      <c r="L222" s="233">
        <f>IF(C222="","",IFERROR(INDEX('ผู้รับ-ส่ง'!$O$9:$O$13,C222)&amp;"",""))</f>
        <v/>
      </c>
    </row>
    <row r="223">
      <c r="A223" s="221" t="n"/>
      <c r="B223" s="221" t="n"/>
      <c r="C223" s="221" t="n"/>
      <c r="D223" s="230">
        <f>IF(C223="","",IFERROR(INDEX('ข้อมูลนักเรียน'!$T$9:$T$13,C223),"ไม่พบเลขที่"))</f>
        <v/>
      </c>
      <c r="E223" s="221" t="n"/>
      <c r="F223" s="231" t="n"/>
      <c r="G223" s="223" t="n"/>
      <c r="H223" s="221" t="n"/>
      <c r="I223" s="232">
        <f>IF(OR(C223="",G223=""),"",IF(ISNUMBER(SEARCH(TRIM(G223),INDEX('ผู้รับ-ส่ง'!$Q$9:$Q$13,C223))),"✓ มีสิทธิ์รับ","⚠ ไม่อยู่ในรายชื่อ"))</f>
        <v/>
      </c>
      <c r="J223" s="223" t="n"/>
      <c r="K223" s="223" t="n"/>
      <c r="L223" s="233">
        <f>IF(C223="","",IFERROR(INDEX('ผู้รับ-ส่ง'!$O$9:$O$13,C223)&amp;"",""))</f>
        <v/>
      </c>
    </row>
    <row r="224">
      <c r="A224" s="221" t="n"/>
      <c r="B224" s="221" t="n"/>
      <c r="C224" s="221" t="n"/>
      <c r="D224" s="230">
        <f>IF(C224="","",IFERROR(INDEX('ข้อมูลนักเรียน'!$T$9:$T$13,C224),"ไม่พบเลขที่"))</f>
        <v/>
      </c>
      <c r="E224" s="221" t="n"/>
      <c r="F224" s="231" t="n"/>
      <c r="G224" s="223" t="n"/>
      <c r="H224" s="221" t="n"/>
      <c r="I224" s="232">
        <f>IF(OR(C224="",G224=""),"",IF(ISNUMBER(SEARCH(TRIM(G224),INDEX('ผู้รับ-ส่ง'!$Q$9:$Q$13,C224))),"✓ มีสิทธิ์รับ","⚠ ไม่อยู่ในรายชื่อ"))</f>
        <v/>
      </c>
      <c r="J224" s="223" t="n"/>
      <c r="K224" s="223" t="n"/>
      <c r="L224" s="233">
        <f>IF(C224="","",IFERROR(INDEX('ผู้รับ-ส่ง'!$O$9:$O$13,C224)&amp;"",""))</f>
        <v/>
      </c>
    </row>
    <row r="225">
      <c r="A225" s="221" t="n"/>
      <c r="B225" s="221" t="n"/>
      <c r="C225" s="221" t="n"/>
      <c r="D225" s="230">
        <f>IF(C225="","",IFERROR(INDEX('ข้อมูลนักเรียน'!$T$9:$T$13,C225),"ไม่พบเลขที่"))</f>
        <v/>
      </c>
      <c r="E225" s="221" t="n"/>
      <c r="F225" s="231" t="n"/>
      <c r="G225" s="223" t="n"/>
      <c r="H225" s="221" t="n"/>
      <c r="I225" s="232">
        <f>IF(OR(C225="",G225=""),"",IF(ISNUMBER(SEARCH(TRIM(G225),INDEX('ผู้รับ-ส่ง'!$Q$9:$Q$13,C225))),"✓ มีสิทธิ์รับ","⚠ ไม่อยู่ในรายชื่อ"))</f>
        <v/>
      </c>
      <c r="J225" s="223" t="n"/>
      <c r="K225" s="223" t="n"/>
      <c r="L225" s="233">
        <f>IF(C225="","",IFERROR(INDEX('ผู้รับ-ส่ง'!$O$9:$O$13,C225)&amp;"",""))</f>
        <v/>
      </c>
    </row>
    <row r="226">
      <c r="A226" s="221" t="n"/>
      <c r="B226" s="221" t="n"/>
      <c r="C226" s="221" t="n"/>
      <c r="D226" s="230">
        <f>IF(C226="","",IFERROR(INDEX('ข้อมูลนักเรียน'!$T$9:$T$13,C226),"ไม่พบเลขที่"))</f>
        <v/>
      </c>
      <c r="E226" s="221" t="n"/>
      <c r="F226" s="231" t="n"/>
      <c r="G226" s="223" t="n"/>
      <c r="H226" s="221" t="n"/>
      <c r="I226" s="232">
        <f>IF(OR(C226="",G226=""),"",IF(ISNUMBER(SEARCH(TRIM(G226),INDEX('ผู้รับ-ส่ง'!$Q$9:$Q$13,C226))),"✓ มีสิทธิ์รับ","⚠ ไม่อยู่ในรายชื่อ"))</f>
        <v/>
      </c>
      <c r="J226" s="223" t="n"/>
      <c r="K226" s="223" t="n"/>
      <c r="L226" s="233">
        <f>IF(C226="","",IFERROR(INDEX('ผู้รับ-ส่ง'!$O$9:$O$13,C226)&amp;"",""))</f>
        <v/>
      </c>
    </row>
    <row r="227">
      <c r="A227" s="221" t="n"/>
      <c r="B227" s="221" t="n"/>
      <c r="C227" s="221" t="n"/>
      <c r="D227" s="230">
        <f>IF(C227="","",IFERROR(INDEX('ข้อมูลนักเรียน'!$T$9:$T$13,C227),"ไม่พบเลขที่"))</f>
        <v/>
      </c>
      <c r="E227" s="221" t="n"/>
      <c r="F227" s="231" t="n"/>
      <c r="G227" s="223" t="n"/>
      <c r="H227" s="221" t="n"/>
      <c r="I227" s="232">
        <f>IF(OR(C227="",G227=""),"",IF(ISNUMBER(SEARCH(TRIM(G227),INDEX('ผู้รับ-ส่ง'!$Q$9:$Q$13,C227))),"✓ มีสิทธิ์รับ","⚠ ไม่อยู่ในรายชื่อ"))</f>
        <v/>
      </c>
      <c r="J227" s="223" t="n"/>
      <c r="K227" s="223" t="n"/>
      <c r="L227" s="233">
        <f>IF(C227="","",IFERROR(INDEX('ผู้รับ-ส่ง'!$O$9:$O$13,C227)&amp;"",""))</f>
        <v/>
      </c>
    </row>
    <row r="228">
      <c r="A228" s="221" t="n"/>
      <c r="B228" s="221" t="n"/>
      <c r="C228" s="221" t="n"/>
      <c r="D228" s="230">
        <f>IF(C228="","",IFERROR(INDEX('ข้อมูลนักเรียน'!$T$9:$T$13,C228),"ไม่พบเลขที่"))</f>
        <v/>
      </c>
      <c r="E228" s="221" t="n"/>
      <c r="F228" s="231" t="n"/>
      <c r="G228" s="223" t="n"/>
      <c r="H228" s="221" t="n"/>
      <c r="I228" s="232">
        <f>IF(OR(C228="",G228=""),"",IF(ISNUMBER(SEARCH(TRIM(G228),INDEX('ผู้รับ-ส่ง'!$Q$9:$Q$13,C228))),"✓ มีสิทธิ์รับ","⚠ ไม่อยู่ในรายชื่อ"))</f>
        <v/>
      </c>
      <c r="J228" s="223" t="n"/>
      <c r="K228" s="223" t="n"/>
      <c r="L228" s="233">
        <f>IF(C228="","",IFERROR(INDEX('ผู้รับ-ส่ง'!$O$9:$O$13,C228)&amp;"",""))</f>
        <v/>
      </c>
    </row>
    <row r="229">
      <c r="A229" s="221" t="n"/>
      <c r="B229" s="221" t="n"/>
      <c r="C229" s="221" t="n"/>
      <c r="D229" s="230">
        <f>IF(C229="","",IFERROR(INDEX('ข้อมูลนักเรียน'!$T$9:$T$13,C229),"ไม่พบเลขที่"))</f>
        <v/>
      </c>
      <c r="E229" s="221" t="n"/>
      <c r="F229" s="231" t="n"/>
      <c r="G229" s="223" t="n"/>
      <c r="H229" s="221" t="n"/>
      <c r="I229" s="232">
        <f>IF(OR(C229="",G229=""),"",IF(ISNUMBER(SEARCH(TRIM(G229),INDEX('ผู้รับ-ส่ง'!$Q$9:$Q$13,C229))),"✓ มีสิทธิ์รับ","⚠ ไม่อยู่ในรายชื่อ"))</f>
        <v/>
      </c>
      <c r="J229" s="223" t="n"/>
      <c r="K229" s="223" t="n"/>
      <c r="L229" s="233">
        <f>IF(C229="","",IFERROR(INDEX('ผู้รับ-ส่ง'!$O$9:$O$13,C229)&amp;"",""))</f>
        <v/>
      </c>
    </row>
    <row r="230">
      <c r="A230" s="221" t="n"/>
      <c r="B230" s="221" t="n"/>
      <c r="C230" s="221" t="n"/>
      <c r="D230" s="230">
        <f>IF(C230="","",IFERROR(INDEX('ข้อมูลนักเรียน'!$T$9:$T$13,C230),"ไม่พบเลขที่"))</f>
        <v/>
      </c>
      <c r="E230" s="221" t="n"/>
      <c r="F230" s="231" t="n"/>
      <c r="G230" s="223" t="n"/>
      <c r="H230" s="221" t="n"/>
      <c r="I230" s="232">
        <f>IF(OR(C230="",G230=""),"",IF(ISNUMBER(SEARCH(TRIM(G230),INDEX('ผู้รับ-ส่ง'!$Q$9:$Q$13,C230))),"✓ มีสิทธิ์รับ","⚠ ไม่อยู่ในรายชื่อ"))</f>
        <v/>
      </c>
      <c r="J230" s="223" t="n"/>
      <c r="K230" s="223" t="n"/>
      <c r="L230" s="233">
        <f>IF(C230="","",IFERROR(INDEX('ผู้รับ-ส่ง'!$O$9:$O$13,C230)&amp;"",""))</f>
        <v/>
      </c>
    </row>
    <row r="231">
      <c r="A231" s="221" t="n"/>
      <c r="B231" s="221" t="n"/>
      <c r="C231" s="221" t="n"/>
      <c r="D231" s="230">
        <f>IF(C231="","",IFERROR(INDEX('ข้อมูลนักเรียน'!$T$9:$T$13,C231),"ไม่พบเลขที่"))</f>
        <v/>
      </c>
      <c r="E231" s="221" t="n"/>
      <c r="F231" s="231" t="n"/>
      <c r="G231" s="223" t="n"/>
      <c r="H231" s="221" t="n"/>
      <c r="I231" s="232">
        <f>IF(OR(C231="",G231=""),"",IF(ISNUMBER(SEARCH(TRIM(G231),INDEX('ผู้รับ-ส่ง'!$Q$9:$Q$13,C231))),"✓ มีสิทธิ์รับ","⚠ ไม่อยู่ในรายชื่อ"))</f>
        <v/>
      </c>
      <c r="J231" s="223" t="n"/>
      <c r="K231" s="223" t="n"/>
      <c r="L231" s="233">
        <f>IF(C231="","",IFERROR(INDEX('ผู้รับ-ส่ง'!$O$9:$O$13,C231)&amp;"",""))</f>
        <v/>
      </c>
    </row>
    <row r="232">
      <c r="A232" s="221" t="n"/>
      <c r="B232" s="221" t="n"/>
      <c r="C232" s="221" t="n"/>
      <c r="D232" s="230">
        <f>IF(C232="","",IFERROR(INDEX('ข้อมูลนักเรียน'!$T$9:$T$13,C232),"ไม่พบเลขที่"))</f>
        <v/>
      </c>
      <c r="E232" s="221" t="n"/>
      <c r="F232" s="231" t="n"/>
      <c r="G232" s="223" t="n"/>
      <c r="H232" s="221" t="n"/>
      <c r="I232" s="232">
        <f>IF(OR(C232="",G232=""),"",IF(ISNUMBER(SEARCH(TRIM(G232),INDEX('ผู้รับ-ส่ง'!$Q$9:$Q$13,C232))),"✓ มีสิทธิ์รับ","⚠ ไม่อยู่ในรายชื่อ"))</f>
        <v/>
      </c>
      <c r="J232" s="223" t="n"/>
      <c r="K232" s="223" t="n"/>
      <c r="L232" s="233">
        <f>IF(C232="","",IFERROR(INDEX('ผู้รับ-ส่ง'!$O$9:$O$13,C232)&amp;"",""))</f>
        <v/>
      </c>
    </row>
    <row r="233">
      <c r="A233" s="221" t="n"/>
      <c r="B233" s="221" t="n"/>
      <c r="C233" s="221" t="n"/>
      <c r="D233" s="230">
        <f>IF(C233="","",IFERROR(INDEX('ข้อมูลนักเรียน'!$T$9:$T$13,C233),"ไม่พบเลขที่"))</f>
        <v/>
      </c>
      <c r="E233" s="221" t="n"/>
      <c r="F233" s="231" t="n"/>
      <c r="G233" s="223" t="n"/>
      <c r="H233" s="221" t="n"/>
      <c r="I233" s="232">
        <f>IF(OR(C233="",G233=""),"",IF(ISNUMBER(SEARCH(TRIM(G233),INDEX('ผู้รับ-ส่ง'!$Q$9:$Q$13,C233))),"✓ มีสิทธิ์รับ","⚠ ไม่อยู่ในรายชื่อ"))</f>
        <v/>
      </c>
      <c r="J233" s="223" t="n"/>
      <c r="K233" s="223" t="n"/>
      <c r="L233" s="233">
        <f>IF(C233="","",IFERROR(INDEX('ผู้รับ-ส่ง'!$O$9:$O$13,C233)&amp;"",""))</f>
        <v/>
      </c>
    </row>
    <row r="234">
      <c r="A234" s="221" t="n"/>
      <c r="B234" s="221" t="n"/>
      <c r="C234" s="221" t="n"/>
      <c r="D234" s="230">
        <f>IF(C234="","",IFERROR(INDEX('ข้อมูลนักเรียน'!$T$9:$T$13,C234),"ไม่พบเลขที่"))</f>
        <v/>
      </c>
      <c r="E234" s="221" t="n"/>
      <c r="F234" s="231" t="n"/>
      <c r="G234" s="223" t="n"/>
      <c r="H234" s="221" t="n"/>
      <c r="I234" s="232">
        <f>IF(OR(C234="",G234=""),"",IF(ISNUMBER(SEARCH(TRIM(G234),INDEX('ผู้รับ-ส่ง'!$Q$9:$Q$13,C234))),"✓ มีสิทธิ์รับ","⚠ ไม่อยู่ในรายชื่อ"))</f>
        <v/>
      </c>
      <c r="J234" s="223" t="n"/>
      <c r="K234" s="223" t="n"/>
      <c r="L234" s="233">
        <f>IF(C234="","",IFERROR(INDEX('ผู้รับ-ส่ง'!$O$9:$O$13,C234)&amp;"",""))</f>
        <v/>
      </c>
    </row>
    <row r="235">
      <c r="A235" s="221" t="n"/>
      <c r="B235" s="221" t="n"/>
      <c r="C235" s="221" t="n"/>
      <c r="D235" s="230">
        <f>IF(C235="","",IFERROR(INDEX('ข้อมูลนักเรียน'!$T$9:$T$13,C235),"ไม่พบเลขที่"))</f>
        <v/>
      </c>
      <c r="E235" s="221" t="n"/>
      <c r="F235" s="231" t="n"/>
      <c r="G235" s="223" t="n"/>
      <c r="H235" s="221" t="n"/>
      <c r="I235" s="232">
        <f>IF(OR(C235="",G235=""),"",IF(ISNUMBER(SEARCH(TRIM(G235),INDEX('ผู้รับ-ส่ง'!$Q$9:$Q$13,C235))),"✓ มีสิทธิ์รับ","⚠ ไม่อยู่ในรายชื่อ"))</f>
        <v/>
      </c>
      <c r="J235" s="223" t="n"/>
      <c r="K235" s="223" t="n"/>
      <c r="L235" s="233">
        <f>IF(C235="","",IFERROR(INDEX('ผู้รับ-ส่ง'!$O$9:$O$13,C235)&amp;"",""))</f>
        <v/>
      </c>
    </row>
    <row r="236">
      <c r="A236" s="221" t="n"/>
      <c r="B236" s="221" t="n"/>
      <c r="C236" s="221" t="n"/>
      <c r="D236" s="230">
        <f>IF(C236="","",IFERROR(INDEX('ข้อมูลนักเรียน'!$T$9:$T$13,C236),"ไม่พบเลขที่"))</f>
        <v/>
      </c>
      <c r="E236" s="221" t="n"/>
      <c r="F236" s="231" t="n"/>
      <c r="G236" s="223" t="n"/>
      <c r="H236" s="221" t="n"/>
      <c r="I236" s="232">
        <f>IF(OR(C236="",G236=""),"",IF(ISNUMBER(SEARCH(TRIM(G236),INDEX('ผู้รับ-ส่ง'!$Q$9:$Q$13,C236))),"✓ มีสิทธิ์รับ","⚠ ไม่อยู่ในรายชื่อ"))</f>
        <v/>
      </c>
      <c r="J236" s="223" t="n"/>
      <c r="K236" s="223" t="n"/>
      <c r="L236" s="233">
        <f>IF(C236="","",IFERROR(INDEX('ผู้รับ-ส่ง'!$O$9:$O$13,C236)&amp;"",""))</f>
        <v/>
      </c>
    </row>
    <row r="237">
      <c r="A237" s="221" t="n"/>
      <c r="B237" s="221" t="n"/>
      <c r="C237" s="221" t="n"/>
      <c r="D237" s="230">
        <f>IF(C237="","",IFERROR(INDEX('ข้อมูลนักเรียน'!$T$9:$T$13,C237),"ไม่พบเลขที่"))</f>
        <v/>
      </c>
      <c r="E237" s="221" t="n"/>
      <c r="F237" s="231" t="n"/>
      <c r="G237" s="223" t="n"/>
      <c r="H237" s="221" t="n"/>
      <c r="I237" s="232">
        <f>IF(OR(C237="",G237=""),"",IF(ISNUMBER(SEARCH(TRIM(G237),INDEX('ผู้รับ-ส่ง'!$Q$9:$Q$13,C237))),"✓ มีสิทธิ์รับ","⚠ ไม่อยู่ในรายชื่อ"))</f>
        <v/>
      </c>
      <c r="J237" s="223" t="n"/>
      <c r="K237" s="223" t="n"/>
      <c r="L237" s="233">
        <f>IF(C237="","",IFERROR(INDEX('ผู้รับ-ส่ง'!$O$9:$O$13,C237)&amp;"",""))</f>
        <v/>
      </c>
    </row>
    <row r="238">
      <c r="A238" s="221" t="n"/>
      <c r="B238" s="221" t="n"/>
      <c r="C238" s="221" t="n"/>
      <c r="D238" s="230">
        <f>IF(C238="","",IFERROR(INDEX('ข้อมูลนักเรียน'!$T$9:$T$13,C238),"ไม่พบเลขที่"))</f>
        <v/>
      </c>
      <c r="E238" s="221" t="n"/>
      <c r="F238" s="231" t="n"/>
      <c r="G238" s="223" t="n"/>
      <c r="H238" s="221" t="n"/>
      <c r="I238" s="232">
        <f>IF(OR(C238="",G238=""),"",IF(ISNUMBER(SEARCH(TRIM(G238),INDEX('ผู้รับ-ส่ง'!$Q$9:$Q$13,C238))),"✓ มีสิทธิ์รับ","⚠ ไม่อยู่ในรายชื่อ"))</f>
        <v/>
      </c>
      <c r="J238" s="223" t="n"/>
      <c r="K238" s="223" t="n"/>
      <c r="L238" s="233">
        <f>IF(C238="","",IFERROR(INDEX('ผู้รับ-ส่ง'!$O$9:$O$13,C238)&amp;"",""))</f>
        <v/>
      </c>
    </row>
    <row r="239">
      <c r="A239" s="221" t="n"/>
      <c r="B239" s="221" t="n"/>
      <c r="C239" s="221" t="n"/>
      <c r="D239" s="230">
        <f>IF(C239="","",IFERROR(INDEX('ข้อมูลนักเรียน'!$T$9:$T$13,C239),"ไม่พบเลขที่"))</f>
        <v/>
      </c>
      <c r="E239" s="221" t="n"/>
      <c r="F239" s="231" t="n"/>
      <c r="G239" s="223" t="n"/>
      <c r="H239" s="221" t="n"/>
      <c r="I239" s="232">
        <f>IF(OR(C239="",G239=""),"",IF(ISNUMBER(SEARCH(TRIM(G239),INDEX('ผู้รับ-ส่ง'!$Q$9:$Q$13,C239))),"✓ มีสิทธิ์รับ","⚠ ไม่อยู่ในรายชื่อ"))</f>
        <v/>
      </c>
      <c r="J239" s="223" t="n"/>
      <c r="K239" s="223" t="n"/>
      <c r="L239" s="233">
        <f>IF(C239="","",IFERROR(INDEX('ผู้รับ-ส่ง'!$O$9:$O$13,C239)&amp;"",""))</f>
        <v/>
      </c>
    </row>
    <row r="240">
      <c r="A240" s="221" t="n"/>
      <c r="B240" s="221" t="n"/>
      <c r="C240" s="221" t="n"/>
      <c r="D240" s="230">
        <f>IF(C240="","",IFERROR(INDEX('ข้อมูลนักเรียน'!$T$9:$T$13,C240),"ไม่พบเลขที่"))</f>
        <v/>
      </c>
      <c r="E240" s="221" t="n"/>
      <c r="F240" s="231" t="n"/>
      <c r="G240" s="223" t="n"/>
      <c r="H240" s="221" t="n"/>
      <c r="I240" s="232">
        <f>IF(OR(C240="",G240=""),"",IF(ISNUMBER(SEARCH(TRIM(G240),INDEX('ผู้รับ-ส่ง'!$Q$9:$Q$13,C240))),"✓ มีสิทธิ์รับ","⚠ ไม่อยู่ในรายชื่อ"))</f>
        <v/>
      </c>
      <c r="J240" s="223" t="n"/>
      <c r="K240" s="223" t="n"/>
      <c r="L240" s="233">
        <f>IF(C240="","",IFERROR(INDEX('ผู้รับ-ส่ง'!$O$9:$O$13,C240)&amp;"",""))</f>
        <v/>
      </c>
    </row>
    <row r="241">
      <c r="A241" s="221" t="n"/>
      <c r="B241" s="221" t="n"/>
      <c r="C241" s="221" t="n"/>
      <c r="D241" s="230">
        <f>IF(C241="","",IFERROR(INDEX('ข้อมูลนักเรียน'!$T$9:$T$13,C241),"ไม่พบเลขที่"))</f>
        <v/>
      </c>
      <c r="E241" s="221" t="n"/>
      <c r="F241" s="231" t="n"/>
      <c r="G241" s="223" t="n"/>
      <c r="H241" s="221" t="n"/>
      <c r="I241" s="232">
        <f>IF(OR(C241="",G241=""),"",IF(ISNUMBER(SEARCH(TRIM(G241),INDEX('ผู้รับ-ส่ง'!$Q$9:$Q$13,C241))),"✓ มีสิทธิ์รับ","⚠ ไม่อยู่ในรายชื่อ"))</f>
        <v/>
      </c>
      <c r="J241" s="223" t="n"/>
      <c r="K241" s="223" t="n"/>
      <c r="L241" s="233">
        <f>IF(C241="","",IFERROR(INDEX('ผู้รับ-ส่ง'!$O$9:$O$13,C241)&amp;"",""))</f>
        <v/>
      </c>
    </row>
    <row r="242">
      <c r="A242" s="221" t="n"/>
      <c r="B242" s="221" t="n"/>
      <c r="C242" s="221" t="n"/>
      <c r="D242" s="230">
        <f>IF(C242="","",IFERROR(INDEX('ข้อมูลนักเรียน'!$T$9:$T$13,C242),"ไม่พบเลขที่"))</f>
        <v/>
      </c>
      <c r="E242" s="221" t="n"/>
      <c r="F242" s="231" t="n"/>
      <c r="G242" s="223" t="n"/>
      <c r="H242" s="221" t="n"/>
      <c r="I242" s="232">
        <f>IF(OR(C242="",G242=""),"",IF(ISNUMBER(SEARCH(TRIM(G242),INDEX('ผู้รับ-ส่ง'!$Q$9:$Q$13,C242))),"✓ มีสิทธิ์รับ","⚠ ไม่อยู่ในรายชื่อ"))</f>
        <v/>
      </c>
      <c r="J242" s="223" t="n"/>
      <c r="K242" s="223" t="n"/>
      <c r="L242" s="233">
        <f>IF(C242="","",IFERROR(INDEX('ผู้รับ-ส่ง'!$O$9:$O$13,C242)&amp;"",""))</f>
        <v/>
      </c>
    </row>
    <row r="243">
      <c r="A243" s="221" t="n"/>
      <c r="B243" s="221" t="n"/>
      <c r="C243" s="221" t="n"/>
      <c r="D243" s="230">
        <f>IF(C243="","",IFERROR(INDEX('ข้อมูลนักเรียน'!$T$9:$T$13,C243),"ไม่พบเลขที่"))</f>
        <v/>
      </c>
      <c r="E243" s="221" t="n"/>
      <c r="F243" s="231" t="n"/>
      <c r="G243" s="223" t="n"/>
      <c r="H243" s="221" t="n"/>
      <c r="I243" s="232">
        <f>IF(OR(C243="",G243=""),"",IF(ISNUMBER(SEARCH(TRIM(G243),INDEX('ผู้รับ-ส่ง'!$Q$9:$Q$13,C243))),"✓ มีสิทธิ์รับ","⚠ ไม่อยู่ในรายชื่อ"))</f>
        <v/>
      </c>
      <c r="J243" s="223" t="n"/>
      <c r="K243" s="223" t="n"/>
      <c r="L243" s="233">
        <f>IF(C243="","",IFERROR(INDEX('ผู้รับ-ส่ง'!$O$9:$O$13,C243)&amp;"",""))</f>
        <v/>
      </c>
    </row>
    <row r="244">
      <c r="A244" s="221" t="n"/>
      <c r="B244" s="221" t="n"/>
      <c r="C244" s="221" t="n"/>
      <c r="D244" s="230">
        <f>IF(C244="","",IFERROR(INDEX('ข้อมูลนักเรียน'!$T$9:$T$13,C244),"ไม่พบเลขที่"))</f>
        <v/>
      </c>
      <c r="E244" s="221" t="n"/>
      <c r="F244" s="231" t="n"/>
      <c r="G244" s="223" t="n"/>
      <c r="H244" s="221" t="n"/>
      <c r="I244" s="232">
        <f>IF(OR(C244="",G244=""),"",IF(ISNUMBER(SEARCH(TRIM(G244),INDEX('ผู้รับ-ส่ง'!$Q$9:$Q$13,C244))),"✓ มีสิทธิ์รับ","⚠ ไม่อยู่ในรายชื่อ"))</f>
        <v/>
      </c>
      <c r="J244" s="223" t="n"/>
      <c r="K244" s="223" t="n"/>
      <c r="L244" s="233">
        <f>IF(C244="","",IFERROR(INDEX('ผู้รับ-ส่ง'!$O$9:$O$13,C244)&amp;"",""))</f>
        <v/>
      </c>
    </row>
    <row r="245">
      <c r="A245" s="221" t="n"/>
      <c r="B245" s="221" t="n"/>
      <c r="C245" s="221" t="n"/>
      <c r="D245" s="230">
        <f>IF(C245="","",IFERROR(INDEX('ข้อมูลนักเรียน'!$T$9:$T$13,C245),"ไม่พบเลขที่"))</f>
        <v/>
      </c>
      <c r="E245" s="221" t="n"/>
      <c r="F245" s="231" t="n"/>
      <c r="G245" s="223" t="n"/>
      <c r="H245" s="221" t="n"/>
      <c r="I245" s="232">
        <f>IF(OR(C245="",G245=""),"",IF(ISNUMBER(SEARCH(TRIM(G245),INDEX('ผู้รับ-ส่ง'!$Q$9:$Q$13,C245))),"✓ มีสิทธิ์รับ","⚠ ไม่อยู่ในรายชื่อ"))</f>
        <v/>
      </c>
      <c r="J245" s="223" t="n"/>
      <c r="K245" s="223" t="n"/>
      <c r="L245" s="233">
        <f>IF(C245="","",IFERROR(INDEX('ผู้รับ-ส่ง'!$O$9:$O$13,C245)&amp;"",""))</f>
        <v/>
      </c>
    </row>
    <row r="246">
      <c r="A246" s="221" t="n"/>
      <c r="B246" s="221" t="n"/>
      <c r="C246" s="221" t="n"/>
      <c r="D246" s="230">
        <f>IF(C246="","",IFERROR(INDEX('ข้อมูลนักเรียน'!$T$9:$T$13,C246),"ไม่พบเลขที่"))</f>
        <v/>
      </c>
      <c r="E246" s="221" t="n"/>
      <c r="F246" s="231" t="n"/>
      <c r="G246" s="223" t="n"/>
      <c r="H246" s="221" t="n"/>
      <c r="I246" s="232">
        <f>IF(OR(C246="",G246=""),"",IF(ISNUMBER(SEARCH(TRIM(G246),INDEX('ผู้รับ-ส่ง'!$Q$9:$Q$13,C246))),"✓ มีสิทธิ์รับ","⚠ ไม่อยู่ในรายชื่อ"))</f>
        <v/>
      </c>
      <c r="J246" s="223" t="n"/>
      <c r="K246" s="223" t="n"/>
      <c r="L246" s="233">
        <f>IF(C246="","",IFERROR(INDEX('ผู้รับ-ส่ง'!$O$9:$O$13,C246)&amp;"",""))</f>
        <v/>
      </c>
    </row>
    <row r="247">
      <c r="A247" s="221" t="n"/>
      <c r="B247" s="221" t="n"/>
      <c r="C247" s="221" t="n"/>
      <c r="D247" s="230">
        <f>IF(C247="","",IFERROR(INDEX('ข้อมูลนักเรียน'!$T$9:$T$13,C247),"ไม่พบเลขที่"))</f>
        <v/>
      </c>
      <c r="E247" s="221" t="n"/>
      <c r="F247" s="231" t="n"/>
      <c r="G247" s="223" t="n"/>
      <c r="H247" s="221" t="n"/>
      <c r="I247" s="232">
        <f>IF(OR(C247="",G247=""),"",IF(ISNUMBER(SEARCH(TRIM(G247),INDEX('ผู้รับ-ส่ง'!$Q$9:$Q$13,C247))),"✓ มีสิทธิ์รับ","⚠ ไม่อยู่ในรายชื่อ"))</f>
        <v/>
      </c>
      <c r="J247" s="223" t="n"/>
      <c r="K247" s="223" t="n"/>
      <c r="L247" s="233">
        <f>IF(C247="","",IFERROR(INDEX('ผู้รับ-ส่ง'!$O$9:$O$13,C247)&amp;"",""))</f>
        <v/>
      </c>
    </row>
    <row r="248">
      <c r="A248" s="221" t="n"/>
      <c r="B248" s="221" t="n"/>
      <c r="C248" s="221" t="n"/>
      <c r="D248" s="230">
        <f>IF(C248="","",IFERROR(INDEX('ข้อมูลนักเรียน'!$T$9:$T$13,C248),"ไม่พบเลขที่"))</f>
        <v/>
      </c>
      <c r="E248" s="221" t="n"/>
      <c r="F248" s="231" t="n"/>
      <c r="G248" s="223" t="n"/>
      <c r="H248" s="221" t="n"/>
      <c r="I248" s="232">
        <f>IF(OR(C248="",G248=""),"",IF(ISNUMBER(SEARCH(TRIM(G248),INDEX('ผู้รับ-ส่ง'!$Q$9:$Q$13,C248))),"✓ มีสิทธิ์รับ","⚠ ไม่อยู่ในรายชื่อ"))</f>
        <v/>
      </c>
      <c r="J248" s="223" t="n"/>
      <c r="K248" s="223" t="n"/>
      <c r="L248" s="233">
        <f>IF(C248="","",IFERROR(INDEX('ผู้รับ-ส่ง'!$O$9:$O$13,C248)&amp;"",""))</f>
        <v/>
      </c>
    </row>
    <row r="249">
      <c r="A249" s="221" t="n"/>
      <c r="B249" s="221" t="n"/>
      <c r="C249" s="221" t="n"/>
      <c r="D249" s="230">
        <f>IF(C249="","",IFERROR(INDEX('ข้อมูลนักเรียน'!$T$9:$T$13,C249),"ไม่พบเลขที่"))</f>
        <v/>
      </c>
      <c r="E249" s="221" t="n"/>
      <c r="F249" s="231" t="n"/>
      <c r="G249" s="223" t="n"/>
      <c r="H249" s="221" t="n"/>
      <c r="I249" s="232">
        <f>IF(OR(C249="",G249=""),"",IF(ISNUMBER(SEARCH(TRIM(G249),INDEX('ผู้รับ-ส่ง'!$Q$9:$Q$13,C249))),"✓ มีสิทธิ์รับ","⚠ ไม่อยู่ในรายชื่อ"))</f>
        <v/>
      </c>
      <c r="J249" s="223" t="n"/>
      <c r="K249" s="223" t="n"/>
      <c r="L249" s="233">
        <f>IF(C249="","",IFERROR(INDEX('ผู้รับ-ส่ง'!$O$9:$O$13,C249)&amp;"",""))</f>
        <v/>
      </c>
    </row>
    <row r="250">
      <c r="A250" s="221" t="n"/>
      <c r="B250" s="221" t="n"/>
      <c r="C250" s="221" t="n"/>
      <c r="D250" s="230">
        <f>IF(C250="","",IFERROR(INDEX('ข้อมูลนักเรียน'!$T$9:$T$13,C250),"ไม่พบเลขที่"))</f>
        <v/>
      </c>
      <c r="E250" s="221" t="n"/>
      <c r="F250" s="231" t="n"/>
      <c r="G250" s="223" t="n"/>
      <c r="H250" s="221" t="n"/>
      <c r="I250" s="232">
        <f>IF(OR(C250="",G250=""),"",IF(ISNUMBER(SEARCH(TRIM(G250),INDEX('ผู้รับ-ส่ง'!$Q$9:$Q$13,C250))),"✓ มีสิทธิ์รับ","⚠ ไม่อยู่ในรายชื่อ"))</f>
        <v/>
      </c>
      <c r="J250" s="223" t="n"/>
      <c r="K250" s="223" t="n"/>
      <c r="L250" s="233">
        <f>IF(C250="","",IFERROR(INDEX('ผู้รับ-ส่ง'!$O$9:$O$13,C250)&amp;"",""))</f>
        <v/>
      </c>
    </row>
    <row r="251">
      <c r="A251" s="221" t="n"/>
      <c r="B251" s="221" t="n"/>
      <c r="C251" s="221" t="n"/>
      <c r="D251" s="230">
        <f>IF(C251="","",IFERROR(INDEX('ข้อมูลนักเรียน'!$T$9:$T$13,C251),"ไม่พบเลขที่"))</f>
        <v/>
      </c>
      <c r="E251" s="221" t="n"/>
      <c r="F251" s="231" t="n"/>
      <c r="G251" s="223" t="n"/>
      <c r="H251" s="221" t="n"/>
      <c r="I251" s="232">
        <f>IF(OR(C251="",G251=""),"",IF(ISNUMBER(SEARCH(TRIM(G251),INDEX('ผู้รับ-ส่ง'!$Q$9:$Q$13,C251))),"✓ มีสิทธิ์รับ","⚠ ไม่อยู่ในรายชื่อ"))</f>
        <v/>
      </c>
      <c r="J251" s="223" t="n"/>
      <c r="K251" s="223" t="n"/>
      <c r="L251" s="233">
        <f>IF(C251="","",IFERROR(INDEX('ผู้รับ-ส่ง'!$O$9:$O$13,C251)&amp;"",""))</f>
        <v/>
      </c>
    </row>
    <row r="252">
      <c r="A252" s="221" t="n"/>
      <c r="B252" s="221" t="n"/>
      <c r="C252" s="221" t="n"/>
      <c r="D252" s="230">
        <f>IF(C252="","",IFERROR(INDEX('ข้อมูลนักเรียน'!$T$9:$T$13,C252),"ไม่พบเลขที่"))</f>
        <v/>
      </c>
      <c r="E252" s="221" t="n"/>
      <c r="F252" s="231" t="n"/>
      <c r="G252" s="223" t="n"/>
      <c r="H252" s="221" t="n"/>
      <c r="I252" s="232">
        <f>IF(OR(C252="",G252=""),"",IF(ISNUMBER(SEARCH(TRIM(G252),INDEX('ผู้รับ-ส่ง'!$Q$9:$Q$13,C252))),"✓ มีสิทธิ์รับ","⚠ ไม่อยู่ในรายชื่อ"))</f>
        <v/>
      </c>
      <c r="J252" s="223" t="n"/>
      <c r="K252" s="223" t="n"/>
      <c r="L252" s="233">
        <f>IF(C252="","",IFERROR(INDEX('ผู้รับ-ส่ง'!$O$9:$O$13,C252)&amp;"",""))</f>
        <v/>
      </c>
    </row>
    <row r="253">
      <c r="A253" s="221" t="n"/>
      <c r="B253" s="221" t="n"/>
      <c r="C253" s="221" t="n"/>
      <c r="D253" s="230">
        <f>IF(C253="","",IFERROR(INDEX('ข้อมูลนักเรียน'!$T$9:$T$13,C253),"ไม่พบเลขที่"))</f>
        <v/>
      </c>
      <c r="E253" s="221" t="n"/>
      <c r="F253" s="231" t="n"/>
      <c r="G253" s="223" t="n"/>
      <c r="H253" s="221" t="n"/>
      <c r="I253" s="232">
        <f>IF(OR(C253="",G253=""),"",IF(ISNUMBER(SEARCH(TRIM(G253),INDEX('ผู้รับ-ส่ง'!$Q$9:$Q$13,C253))),"✓ มีสิทธิ์รับ","⚠ ไม่อยู่ในรายชื่อ"))</f>
        <v/>
      </c>
      <c r="J253" s="223" t="n"/>
      <c r="K253" s="223" t="n"/>
      <c r="L253" s="233">
        <f>IF(C253="","",IFERROR(INDEX('ผู้รับ-ส่ง'!$O$9:$O$13,C253)&amp;"",""))</f>
        <v/>
      </c>
    </row>
    <row r="254">
      <c r="A254" s="221" t="n"/>
      <c r="B254" s="221" t="n"/>
      <c r="C254" s="221" t="n"/>
      <c r="D254" s="230">
        <f>IF(C254="","",IFERROR(INDEX('ข้อมูลนักเรียน'!$T$9:$T$13,C254),"ไม่พบเลขที่"))</f>
        <v/>
      </c>
      <c r="E254" s="221" t="n"/>
      <c r="F254" s="231" t="n"/>
      <c r="G254" s="223" t="n"/>
      <c r="H254" s="221" t="n"/>
      <c r="I254" s="232">
        <f>IF(OR(C254="",G254=""),"",IF(ISNUMBER(SEARCH(TRIM(G254),INDEX('ผู้รับ-ส่ง'!$Q$9:$Q$13,C254))),"✓ มีสิทธิ์รับ","⚠ ไม่อยู่ในรายชื่อ"))</f>
        <v/>
      </c>
      <c r="J254" s="223" t="n"/>
      <c r="K254" s="223" t="n"/>
      <c r="L254" s="233">
        <f>IF(C254="","",IFERROR(INDEX('ผู้รับ-ส่ง'!$O$9:$O$13,C254)&amp;"",""))</f>
        <v/>
      </c>
    </row>
    <row r="255">
      <c r="A255" s="221" t="n"/>
      <c r="B255" s="221" t="n"/>
      <c r="C255" s="221" t="n"/>
      <c r="D255" s="230">
        <f>IF(C255="","",IFERROR(INDEX('ข้อมูลนักเรียน'!$T$9:$T$13,C255),"ไม่พบเลขที่"))</f>
        <v/>
      </c>
      <c r="E255" s="221" t="n"/>
      <c r="F255" s="231" t="n"/>
      <c r="G255" s="223" t="n"/>
      <c r="H255" s="221" t="n"/>
      <c r="I255" s="232">
        <f>IF(OR(C255="",G255=""),"",IF(ISNUMBER(SEARCH(TRIM(G255),INDEX('ผู้รับ-ส่ง'!$Q$9:$Q$13,C255))),"✓ มีสิทธิ์รับ","⚠ ไม่อยู่ในรายชื่อ"))</f>
        <v/>
      </c>
      <c r="J255" s="223" t="n"/>
      <c r="K255" s="223" t="n"/>
      <c r="L255" s="233">
        <f>IF(C255="","",IFERROR(INDEX('ผู้รับ-ส่ง'!$O$9:$O$13,C255)&amp;"",""))</f>
        <v/>
      </c>
    </row>
    <row r="256">
      <c r="A256" s="221" t="n"/>
      <c r="B256" s="221" t="n"/>
      <c r="C256" s="221" t="n"/>
      <c r="D256" s="230">
        <f>IF(C256="","",IFERROR(INDEX('ข้อมูลนักเรียน'!$T$9:$T$13,C256),"ไม่พบเลขที่"))</f>
        <v/>
      </c>
      <c r="E256" s="221" t="n"/>
      <c r="F256" s="231" t="n"/>
      <c r="G256" s="223" t="n"/>
      <c r="H256" s="221" t="n"/>
      <c r="I256" s="232">
        <f>IF(OR(C256="",G256=""),"",IF(ISNUMBER(SEARCH(TRIM(G256),INDEX('ผู้รับ-ส่ง'!$Q$9:$Q$13,C256))),"✓ มีสิทธิ์รับ","⚠ ไม่อยู่ในรายชื่อ"))</f>
        <v/>
      </c>
      <c r="J256" s="223" t="n"/>
      <c r="K256" s="223" t="n"/>
      <c r="L256" s="233">
        <f>IF(C256="","",IFERROR(INDEX('ผู้รับ-ส่ง'!$O$9:$O$13,C256)&amp;"",""))</f>
        <v/>
      </c>
    </row>
    <row r="257">
      <c r="A257" s="221" t="n"/>
      <c r="B257" s="221" t="n"/>
      <c r="C257" s="221" t="n"/>
      <c r="D257" s="230">
        <f>IF(C257="","",IFERROR(INDEX('ข้อมูลนักเรียน'!$T$9:$T$13,C257),"ไม่พบเลขที่"))</f>
        <v/>
      </c>
      <c r="E257" s="221" t="n"/>
      <c r="F257" s="231" t="n"/>
      <c r="G257" s="223" t="n"/>
      <c r="H257" s="221" t="n"/>
      <c r="I257" s="232">
        <f>IF(OR(C257="",G257=""),"",IF(ISNUMBER(SEARCH(TRIM(G257),INDEX('ผู้รับ-ส่ง'!$Q$9:$Q$13,C257))),"✓ มีสิทธิ์รับ","⚠ ไม่อยู่ในรายชื่อ"))</f>
        <v/>
      </c>
      <c r="J257" s="223" t="n"/>
      <c r="K257" s="223" t="n"/>
      <c r="L257" s="233">
        <f>IF(C257="","",IFERROR(INDEX('ผู้รับ-ส่ง'!$O$9:$O$13,C257)&amp;"",""))</f>
        <v/>
      </c>
    </row>
    <row r="258">
      <c r="A258" s="221" t="n"/>
      <c r="B258" s="221" t="n"/>
      <c r="C258" s="221" t="n"/>
      <c r="D258" s="230">
        <f>IF(C258="","",IFERROR(INDEX('ข้อมูลนักเรียน'!$T$9:$T$13,C258),"ไม่พบเลขที่"))</f>
        <v/>
      </c>
      <c r="E258" s="221" t="n"/>
      <c r="F258" s="231" t="n"/>
      <c r="G258" s="223" t="n"/>
      <c r="H258" s="221" t="n"/>
      <c r="I258" s="232">
        <f>IF(OR(C258="",G258=""),"",IF(ISNUMBER(SEARCH(TRIM(G258),INDEX('ผู้รับ-ส่ง'!$Q$9:$Q$13,C258))),"✓ มีสิทธิ์รับ","⚠ ไม่อยู่ในรายชื่อ"))</f>
        <v/>
      </c>
      <c r="J258" s="223" t="n"/>
      <c r="K258" s="223" t="n"/>
      <c r="L258" s="233">
        <f>IF(C258="","",IFERROR(INDEX('ผู้รับ-ส่ง'!$O$9:$O$13,C258)&amp;"",""))</f>
        <v/>
      </c>
    </row>
    <row r="259">
      <c r="A259" s="221" t="n"/>
      <c r="B259" s="221" t="n"/>
      <c r="C259" s="221" t="n"/>
      <c r="D259" s="230">
        <f>IF(C259="","",IFERROR(INDEX('ข้อมูลนักเรียน'!$T$9:$T$13,C259),"ไม่พบเลขที่"))</f>
        <v/>
      </c>
      <c r="E259" s="221" t="n"/>
      <c r="F259" s="231" t="n"/>
      <c r="G259" s="223" t="n"/>
      <c r="H259" s="221" t="n"/>
      <c r="I259" s="232">
        <f>IF(OR(C259="",G259=""),"",IF(ISNUMBER(SEARCH(TRIM(G259),INDEX('ผู้รับ-ส่ง'!$Q$9:$Q$13,C259))),"✓ มีสิทธิ์รับ","⚠ ไม่อยู่ในรายชื่อ"))</f>
        <v/>
      </c>
      <c r="J259" s="223" t="n"/>
      <c r="K259" s="223" t="n"/>
      <c r="L259" s="233">
        <f>IF(C259="","",IFERROR(INDEX('ผู้รับ-ส่ง'!$O$9:$O$13,C259)&amp;"",""))</f>
        <v/>
      </c>
    </row>
    <row r="260">
      <c r="A260" s="221" t="n"/>
      <c r="B260" s="221" t="n"/>
      <c r="C260" s="221" t="n"/>
      <c r="D260" s="230">
        <f>IF(C260="","",IFERROR(INDEX('ข้อมูลนักเรียน'!$T$9:$T$13,C260),"ไม่พบเลขที่"))</f>
        <v/>
      </c>
      <c r="E260" s="221" t="n"/>
      <c r="F260" s="231" t="n"/>
      <c r="G260" s="223" t="n"/>
      <c r="H260" s="221" t="n"/>
      <c r="I260" s="232">
        <f>IF(OR(C260="",G260=""),"",IF(ISNUMBER(SEARCH(TRIM(G260),INDEX('ผู้รับ-ส่ง'!$Q$9:$Q$13,C260))),"✓ มีสิทธิ์รับ","⚠ ไม่อยู่ในรายชื่อ"))</f>
        <v/>
      </c>
      <c r="J260" s="223" t="n"/>
      <c r="K260" s="223" t="n"/>
      <c r="L260" s="233">
        <f>IF(C260="","",IFERROR(INDEX('ผู้รับ-ส่ง'!$O$9:$O$13,C260)&amp;"",""))</f>
        <v/>
      </c>
    </row>
    <row r="261">
      <c r="A261" s="221" t="n"/>
      <c r="B261" s="221" t="n"/>
      <c r="C261" s="221" t="n"/>
      <c r="D261" s="230">
        <f>IF(C261="","",IFERROR(INDEX('ข้อมูลนักเรียน'!$T$9:$T$13,C261),"ไม่พบเลขที่"))</f>
        <v/>
      </c>
      <c r="E261" s="221" t="n"/>
      <c r="F261" s="231" t="n"/>
      <c r="G261" s="223" t="n"/>
      <c r="H261" s="221" t="n"/>
      <c r="I261" s="232">
        <f>IF(OR(C261="",G261=""),"",IF(ISNUMBER(SEARCH(TRIM(G261),INDEX('ผู้รับ-ส่ง'!$Q$9:$Q$13,C261))),"✓ มีสิทธิ์รับ","⚠ ไม่อยู่ในรายชื่อ"))</f>
        <v/>
      </c>
      <c r="J261" s="223" t="n"/>
      <c r="K261" s="223" t="n"/>
      <c r="L261" s="233">
        <f>IF(C261="","",IFERROR(INDEX('ผู้รับ-ส่ง'!$O$9:$O$13,C261)&amp;"",""))</f>
        <v/>
      </c>
    </row>
    <row r="262">
      <c r="A262" s="221" t="n"/>
      <c r="B262" s="221" t="n"/>
      <c r="C262" s="221" t="n"/>
      <c r="D262" s="230">
        <f>IF(C262="","",IFERROR(INDEX('ข้อมูลนักเรียน'!$T$9:$T$13,C262),"ไม่พบเลขที่"))</f>
        <v/>
      </c>
      <c r="E262" s="221" t="n"/>
      <c r="F262" s="231" t="n"/>
      <c r="G262" s="223" t="n"/>
      <c r="H262" s="221" t="n"/>
      <c r="I262" s="232">
        <f>IF(OR(C262="",G262=""),"",IF(ISNUMBER(SEARCH(TRIM(G262),INDEX('ผู้รับ-ส่ง'!$Q$9:$Q$13,C262))),"✓ มีสิทธิ์รับ","⚠ ไม่อยู่ในรายชื่อ"))</f>
        <v/>
      </c>
      <c r="J262" s="223" t="n"/>
      <c r="K262" s="223" t="n"/>
      <c r="L262" s="233">
        <f>IF(C262="","",IFERROR(INDEX('ผู้รับ-ส่ง'!$O$9:$O$13,C262)&amp;"",""))</f>
        <v/>
      </c>
    </row>
    <row r="263">
      <c r="A263" s="221" t="n"/>
      <c r="B263" s="221" t="n"/>
      <c r="C263" s="221" t="n"/>
      <c r="D263" s="230">
        <f>IF(C263="","",IFERROR(INDEX('ข้อมูลนักเรียน'!$T$9:$T$13,C263),"ไม่พบเลขที่"))</f>
        <v/>
      </c>
      <c r="E263" s="221" t="n"/>
      <c r="F263" s="231" t="n"/>
      <c r="G263" s="223" t="n"/>
      <c r="H263" s="221" t="n"/>
      <c r="I263" s="232">
        <f>IF(OR(C263="",G263=""),"",IF(ISNUMBER(SEARCH(TRIM(G263),INDEX('ผู้รับ-ส่ง'!$Q$9:$Q$13,C263))),"✓ มีสิทธิ์รับ","⚠ ไม่อยู่ในรายชื่อ"))</f>
        <v/>
      </c>
      <c r="J263" s="223" t="n"/>
      <c r="K263" s="223" t="n"/>
      <c r="L263" s="233">
        <f>IF(C263="","",IFERROR(INDEX('ผู้รับ-ส่ง'!$O$9:$O$13,C263)&amp;"",""))</f>
        <v/>
      </c>
    </row>
    <row r="264">
      <c r="A264" s="221" t="n"/>
      <c r="B264" s="221" t="n"/>
      <c r="C264" s="221" t="n"/>
      <c r="D264" s="230">
        <f>IF(C264="","",IFERROR(INDEX('ข้อมูลนักเรียน'!$T$9:$T$13,C264),"ไม่พบเลขที่"))</f>
        <v/>
      </c>
      <c r="E264" s="221" t="n"/>
      <c r="F264" s="231" t="n"/>
      <c r="G264" s="223" t="n"/>
      <c r="H264" s="221" t="n"/>
      <c r="I264" s="232">
        <f>IF(OR(C264="",G264=""),"",IF(ISNUMBER(SEARCH(TRIM(G264),INDEX('ผู้รับ-ส่ง'!$Q$9:$Q$13,C264))),"✓ มีสิทธิ์รับ","⚠ ไม่อยู่ในรายชื่อ"))</f>
        <v/>
      </c>
      <c r="J264" s="223" t="n"/>
      <c r="K264" s="223" t="n"/>
      <c r="L264" s="233">
        <f>IF(C264="","",IFERROR(INDEX('ผู้รับ-ส่ง'!$O$9:$O$13,C264)&amp;"",""))</f>
        <v/>
      </c>
    </row>
    <row r="265">
      <c r="A265" s="221" t="n"/>
      <c r="B265" s="221" t="n"/>
      <c r="C265" s="221" t="n"/>
      <c r="D265" s="230">
        <f>IF(C265="","",IFERROR(INDEX('ข้อมูลนักเรียน'!$T$9:$T$13,C265),"ไม่พบเลขที่"))</f>
        <v/>
      </c>
      <c r="E265" s="221" t="n"/>
      <c r="F265" s="231" t="n"/>
      <c r="G265" s="223" t="n"/>
      <c r="H265" s="221" t="n"/>
      <c r="I265" s="232">
        <f>IF(OR(C265="",G265=""),"",IF(ISNUMBER(SEARCH(TRIM(G265),INDEX('ผู้รับ-ส่ง'!$Q$9:$Q$13,C265))),"✓ มีสิทธิ์รับ","⚠ ไม่อยู่ในรายชื่อ"))</f>
        <v/>
      </c>
      <c r="J265" s="223" t="n"/>
      <c r="K265" s="223" t="n"/>
      <c r="L265" s="233">
        <f>IF(C265="","",IFERROR(INDEX('ผู้รับ-ส่ง'!$O$9:$O$13,C265)&amp;"",""))</f>
        <v/>
      </c>
    </row>
    <row r="266">
      <c r="A266" s="221" t="n"/>
      <c r="B266" s="221" t="n"/>
      <c r="C266" s="221" t="n"/>
      <c r="D266" s="230">
        <f>IF(C266="","",IFERROR(INDEX('ข้อมูลนักเรียน'!$T$9:$T$13,C266),"ไม่พบเลขที่"))</f>
        <v/>
      </c>
      <c r="E266" s="221" t="n"/>
      <c r="F266" s="231" t="n"/>
      <c r="G266" s="223" t="n"/>
      <c r="H266" s="221" t="n"/>
      <c r="I266" s="232">
        <f>IF(OR(C266="",G266=""),"",IF(ISNUMBER(SEARCH(TRIM(G266),INDEX('ผู้รับ-ส่ง'!$Q$9:$Q$13,C266))),"✓ มีสิทธิ์รับ","⚠ ไม่อยู่ในรายชื่อ"))</f>
        <v/>
      </c>
      <c r="J266" s="223" t="n"/>
      <c r="K266" s="223" t="n"/>
      <c r="L266" s="233">
        <f>IF(C266="","",IFERROR(INDEX('ผู้รับ-ส่ง'!$O$9:$O$13,C266)&amp;"",""))</f>
        <v/>
      </c>
    </row>
    <row r="267">
      <c r="A267" s="221" t="n"/>
      <c r="B267" s="221" t="n"/>
      <c r="C267" s="221" t="n"/>
      <c r="D267" s="230">
        <f>IF(C267="","",IFERROR(INDEX('ข้อมูลนักเรียน'!$T$9:$T$13,C267),"ไม่พบเลขที่"))</f>
        <v/>
      </c>
      <c r="E267" s="221" t="n"/>
      <c r="F267" s="231" t="n"/>
      <c r="G267" s="223" t="n"/>
      <c r="H267" s="221" t="n"/>
      <c r="I267" s="232">
        <f>IF(OR(C267="",G267=""),"",IF(ISNUMBER(SEARCH(TRIM(G267),INDEX('ผู้รับ-ส่ง'!$Q$9:$Q$13,C267))),"✓ มีสิทธิ์รับ","⚠ ไม่อยู่ในรายชื่อ"))</f>
        <v/>
      </c>
      <c r="J267" s="223" t="n"/>
      <c r="K267" s="223" t="n"/>
      <c r="L267" s="233">
        <f>IF(C267="","",IFERROR(INDEX('ผู้รับ-ส่ง'!$O$9:$O$13,C267)&amp;"",""))</f>
        <v/>
      </c>
    </row>
    <row r="268">
      <c r="A268" s="221" t="n"/>
      <c r="B268" s="221" t="n"/>
      <c r="C268" s="221" t="n"/>
      <c r="D268" s="230">
        <f>IF(C268="","",IFERROR(INDEX('ข้อมูลนักเรียน'!$T$9:$T$13,C268),"ไม่พบเลขที่"))</f>
        <v/>
      </c>
      <c r="E268" s="221" t="n"/>
      <c r="F268" s="231" t="n"/>
      <c r="G268" s="223" t="n"/>
      <c r="H268" s="221" t="n"/>
      <c r="I268" s="232">
        <f>IF(OR(C268="",G268=""),"",IF(ISNUMBER(SEARCH(TRIM(G268),INDEX('ผู้รับ-ส่ง'!$Q$9:$Q$13,C268))),"✓ มีสิทธิ์รับ","⚠ ไม่อยู่ในรายชื่อ"))</f>
        <v/>
      </c>
      <c r="J268" s="223" t="n"/>
      <c r="K268" s="223" t="n"/>
      <c r="L268" s="233">
        <f>IF(C268="","",IFERROR(INDEX('ผู้รับ-ส่ง'!$O$9:$O$13,C268)&amp;"",""))</f>
        <v/>
      </c>
    </row>
    <row r="269">
      <c r="A269" s="221" t="n"/>
      <c r="B269" s="221" t="n"/>
      <c r="C269" s="221" t="n"/>
      <c r="D269" s="230">
        <f>IF(C269="","",IFERROR(INDEX('ข้อมูลนักเรียน'!$T$9:$T$13,C269),"ไม่พบเลขที่"))</f>
        <v/>
      </c>
      <c r="E269" s="221" t="n"/>
      <c r="F269" s="231" t="n"/>
      <c r="G269" s="223" t="n"/>
      <c r="H269" s="221" t="n"/>
      <c r="I269" s="232">
        <f>IF(OR(C269="",G269=""),"",IF(ISNUMBER(SEARCH(TRIM(G269),INDEX('ผู้รับ-ส่ง'!$Q$9:$Q$13,C269))),"✓ มีสิทธิ์รับ","⚠ ไม่อยู่ในรายชื่อ"))</f>
        <v/>
      </c>
      <c r="J269" s="223" t="n"/>
      <c r="K269" s="223" t="n"/>
      <c r="L269" s="233">
        <f>IF(C269="","",IFERROR(INDEX('ผู้รับ-ส่ง'!$O$9:$O$13,C269)&amp;"",""))</f>
        <v/>
      </c>
    </row>
    <row r="270">
      <c r="A270" s="221" t="n"/>
      <c r="B270" s="221" t="n"/>
      <c r="C270" s="221" t="n"/>
      <c r="D270" s="230">
        <f>IF(C270="","",IFERROR(INDEX('ข้อมูลนักเรียน'!$T$9:$T$13,C270),"ไม่พบเลขที่"))</f>
        <v/>
      </c>
      <c r="E270" s="221" t="n"/>
      <c r="F270" s="231" t="n"/>
      <c r="G270" s="223" t="n"/>
      <c r="H270" s="221" t="n"/>
      <c r="I270" s="232">
        <f>IF(OR(C270="",G270=""),"",IF(ISNUMBER(SEARCH(TRIM(G270),INDEX('ผู้รับ-ส่ง'!$Q$9:$Q$13,C270))),"✓ มีสิทธิ์รับ","⚠ ไม่อยู่ในรายชื่อ"))</f>
        <v/>
      </c>
      <c r="J270" s="223" t="n"/>
      <c r="K270" s="223" t="n"/>
      <c r="L270" s="233">
        <f>IF(C270="","",IFERROR(INDEX('ผู้รับ-ส่ง'!$O$9:$O$13,C270)&amp;"",""))</f>
        <v/>
      </c>
    </row>
    <row r="271">
      <c r="A271" s="221" t="n"/>
      <c r="B271" s="221" t="n"/>
      <c r="C271" s="221" t="n"/>
      <c r="D271" s="230">
        <f>IF(C271="","",IFERROR(INDEX('ข้อมูลนักเรียน'!$T$9:$T$13,C271),"ไม่พบเลขที่"))</f>
        <v/>
      </c>
      <c r="E271" s="221" t="n"/>
      <c r="F271" s="231" t="n"/>
      <c r="G271" s="223" t="n"/>
      <c r="H271" s="221" t="n"/>
      <c r="I271" s="232">
        <f>IF(OR(C271="",G271=""),"",IF(ISNUMBER(SEARCH(TRIM(G271),INDEX('ผู้รับ-ส่ง'!$Q$9:$Q$13,C271))),"✓ มีสิทธิ์รับ","⚠ ไม่อยู่ในรายชื่อ"))</f>
        <v/>
      </c>
      <c r="J271" s="223" t="n"/>
      <c r="K271" s="223" t="n"/>
      <c r="L271" s="233">
        <f>IF(C271="","",IFERROR(INDEX('ผู้รับ-ส่ง'!$O$9:$O$13,C271)&amp;"",""))</f>
        <v/>
      </c>
    </row>
    <row r="272">
      <c r="A272" s="221" t="n"/>
      <c r="B272" s="221" t="n"/>
      <c r="C272" s="221" t="n"/>
      <c r="D272" s="230">
        <f>IF(C272="","",IFERROR(INDEX('ข้อมูลนักเรียน'!$T$9:$T$13,C272),"ไม่พบเลขที่"))</f>
        <v/>
      </c>
      <c r="E272" s="221" t="n"/>
      <c r="F272" s="231" t="n"/>
      <c r="G272" s="223" t="n"/>
      <c r="H272" s="221" t="n"/>
      <c r="I272" s="232">
        <f>IF(OR(C272="",G272=""),"",IF(ISNUMBER(SEARCH(TRIM(G272),INDEX('ผู้รับ-ส่ง'!$Q$9:$Q$13,C272))),"✓ มีสิทธิ์รับ","⚠ ไม่อยู่ในรายชื่อ"))</f>
        <v/>
      </c>
      <c r="J272" s="223" t="n"/>
      <c r="K272" s="223" t="n"/>
      <c r="L272" s="233">
        <f>IF(C272="","",IFERROR(INDEX('ผู้รับ-ส่ง'!$O$9:$O$13,C272)&amp;"",""))</f>
        <v/>
      </c>
    </row>
    <row r="273">
      <c r="A273" s="221" t="n"/>
      <c r="B273" s="221" t="n"/>
      <c r="C273" s="221" t="n"/>
      <c r="D273" s="230">
        <f>IF(C273="","",IFERROR(INDEX('ข้อมูลนักเรียน'!$T$9:$T$13,C273),"ไม่พบเลขที่"))</f>
        <v/>
      </c>
      <c r="E273" s="221" t="n"/>
      <c r="F273" s="231" t="n"/>
      <c r="G273" s="223" t="n"/>
      <c r="H273" s="221" t="n"/>
      <c r="I273" s="232">
        <f>IF(OR(C273="",G273=""),"",IF(ISNUMBER(SEARCH(TRIM(G273),INDEX('ผู้รับ-ส่ง'!$Q$9:$Q$13,C273))),"✓ มีสิทธิ์รับ","⚠ ไม่อยู่ในรายชื่อ"))</f>
        <v/>
      </c>
      <c r="J273" s="223" t="n"/>
      <c r="K273" s="223" t="n"/>
      <c r="L273" s="233">
        <f>IF(C273="","",IFERROR(INDEX('ผู้รับ-ส่ง'!$O$9:$O$13,C273)&amp;"",""))</f>
        <v/>
      </c>
    </row>
    <row r="274">
      <c r="A274" s="221" t="n"/>
      <c r="B274" s="221" t="n"/>
      <c r="C274" s="221" t="n"/>
      <c r="D274" s="230">
        <f>IF(C274="","",IFERROR(INDEX('ข้อมูลนักเรียน'!$T$9:$T$13,C274),"ไม่พบเลขที่"))</f>
        <v/>
      </c>
      <c r="E274" s="221" t="n"/>
      <c r="F274" s="231" t="n"/>
      <c r="G274" s="223" t="n"/>
      <c r="H274" s="221" t="n"/>
      <c r="I274" s="232">
        <f>IF(OR(C274="",G274=""),"",IF(ISNUMBER(SEARCH(TRIM(G274),INDEX('ผู้รับ-ส่ง'!$Q$9:$Q$13,C274))),"✓ มีสิทธิ์รับ","⚠ ไม่อยู่ในรายชื่อ"))</f>
        <v/>
      </c>
      <c r="J274" s="223" t="n"/>
      <c r="K274" s="223" t="n"/>
      <c r="L274" s="233">
        <f>IF(C274="","",IFERROR(INDEX('ผู้รับ-ส่ง'!$O$9:$O$13,C274)&amp;"",""))</f>
        <v/>
      </c>
    </row>
    <row r="275">
      <c r="A275" s="221" t="n"/>
      <c r="B275" s="221" t="n"/>
      <c r="C275" s="221" t="n"/>
      <c r="D275" s="230">
        <f>IF(C275="","",IFERROR(INDEX('ข้อมูลนักเรียน'!$T$9:$T$13,C275),"ไม่พบเลขที่"))</f>
        <v/>
      </c>
      <c r="E275" s="221" t="n"/>
      <c r="F275" s="231" t="n"/>
      <c r="G275" s="223" t="n"/>
      <c r="H275" s="221" t="n"/>
      <c r="I275" s="232">
        <f>IF(OR(C275="",G275=""),"",IF(ISNUMBER(SEARCH(TRIM(G275),INDEX('ผู้รับ-ส่ง'!$Q$9:$Q$13,C275))),"✓ มีสิทธิ์รับ","⚠ ไม่อยู่ในรายชื่อ"))</f>
        <v/>
      </c>
      <c r="J275" s="223" t="n"/>
      <c r="K275" s="223" t="n"/>
      <c r="L275" s="233">
        <f>IF(C275="","",IFERROR(INDEX('ผู้รับ-ส่ง'!$O$9:$O$13,C275)&amp;"",""))</f>
        <v/>
      </c>
    </row>
    <row r="276">
      <c r="A276" s="221" t="n"/>
      <c r="B276" s="221" t="n"/>
      <c r="C276" s="221" t="n"/>
      <c r="D276" s="230">
        <f>IF(C276="","",IFERROR(INDEX('ข้อมูลนักเรียน'!$T$9:$T$13,C276),"ไม่พบเลขที่"))</f>
        <v/>
      </c>
      <c r="E276" s="221" t="n"/>
      <c r="F276" s="231" t="n"/>
      <c r="G276" s="223" t="n"/>
      <c r="H276" s="221" t="n"/>
      <c r="I276" s="232">
        <f>IF(OR(C276="",G276=""),"",IF(ISNUMBER(SEARCH(TRIM(G276),INDEX('ผู้รับ-ส่ง'!$Q$9:$Q$13,C276))),"✓ มีสิทธิ์รับ","⚠ ไม่อยู่ในรายชื่อ"))</f>
        <v/>
      </c>
      <c r="J276" s="223" t="n"/>
      <c r="K276" s="223" t="n"/>
      <c r="L276" s="233">
        <f>IF(C276="","",IFERROR(INDEX('ผู้รับ-ส่ง'!$O$9:$O$13,C276)&amp;"",""))</f>
        <v/>
      </c>
    </row>
    <row r="277">
      <c r="A277" s="221" t="n"/>
      <c r="B277" s="221" t="n"/>
      <c r="C277" s="221" t="n"/>
      <c r="D277" s="230">
        <f>IF(C277="","",IFERROR(INDEX('ข้อมูลนักเรียน'!$T$9:$T$13,C277),"ไม่พบเลขที่"))</f>
        <v/>
      </c>
      <c r="E277" s="221" t="n"/>
      <c r="F277" s="231" t="n"/>
      <c r="G277" s="223" t="n"/>
      <c r="H277" s="221" t="n"/>
      <c r="I277" s="232">
        <f>IF(OR(C277="",G277=""),"",IF(ISNUMBER(SEARCH(TRIM(G277),INDEX('ผู้รับ-ส่ง'!$Q$9:$Q$13,C277))),"✓ มีสิทธิ์รับ","⚠ ไม่อยู่ในรายชื่อ"))</f>
        <v/>
      </c>
      <c r="J277" s="223" t="n"/>
      <c r="K277" s="223" t="n"/>
      <c r="L277" s="233">
        <f>IF(C277="","",IFERROR(INDEX('ผู้รับ-ส่ง'!$O$9:$O$13,C277)&amp;"",""))</f>
        <v/>
      </c>
    </row>
    <row r="278">
      <c r="A278" s="221" t="n"/>
      <c r="B278" s="221" t="n"/>
      <c r="C278" s="221" t="n"/>
      <c r="D278" s="230">
        <f>IF(C278="","",IFERROR(INDEX('ข้อมูลนักเรียน'!$T$9:$T$13,C278),"ไม่พบเลขที่"))</f>
        <v/>
      </c>
      <c r="E278" s="221" t="n"/>
      <c r="F278" s="231" t="n"/>
      <c r="G278" s="223" t="n"/>
      <c r="H278" s="221" t="n"/>
      <c r="I278" s="232">
        <f>IF(OR(C278="",G278=""),"",IF(ISNUMBER(SEARCH(TRIM(G278),INDEX('ผู้รับ-ส่ง'!$Q$9:$Q$13,C278))),"✓ มีสิทธิ์รับ","⚠ ไม่อยู่ในรายชื่อ"))</f>
        <v/>
      </c>
      <c r="J278" s="223" t="n"/>
      <c r="K278" s="223" t="n"/>
      <c r="L278" s="233">
        <f>IF(C278="","",IFERROR(INDEX('ผู้รับ-ส่ง'!$O$9:$O$13,C278)&amp;"",""))</f>
        <v/>
      </c>
    </row>
    <row r="279">
      <c r="A279" s="221" t="n"/>
      <c r="B279" s="221" t="n"/>
      <c r="C279" s="221" t="n"/>
      <c r="D279" s="230">
        <f>IF(C279="","",IFERROR(INDEX('ข้อมูลนักเรียน'!$T$9:$T$13,C279),"ไม่พบเลขที่"))</f>
        <v/>
      </c>
      <c r="E279" s="221" t="n"/>
      <c r="F279" s="231" t="n"/>
      <c r="G279" s="223" t="n"/>
      <c r="H279" s="221" t="n"/>
      <c r="I279" s="232">
        <f>IF(OR(C279="",G279=""),"",IF(ISNUMBER(SEARCH(TRIM(G279),INDEX('ผู้รับ-ส่ง'!$Q$9:$Q$13,C279))),"✓ มีสิทธิ์รับ","⚠ ไม่อยู่ในรายชื่อ"))</f>
        <v/>
      </c>
      <c r="J279" s="223" t="n"/>
      <c r="K279" s="223" t="n"/>
      <c r="L279" s="233">
        <f>IF(C279="","",IFERROR(INDEX('ผู้รับ-ส่ง'!$O$9:$O$13,C279)&amp;"",""))</f>
        <v/>
      </c>
    </row>
    <row r="280">
      <c r="A280" s="221" t="n"/>
      <c r="B280" s="221" t="n"/>
      <c r="C280" s="221" t="n"/>
      <c r="D280" s="230">
        <f>IF(C280="","",IFERROR(INDEX('ข้อมูลนักเรียน'!$T$9:$T$13,C280),"ไม่พบเลขที่"))</f>
        <v/>
      </c>
      <c r="E280" s="221" t="n"/>
      <c r="F280" s="231" t="n"/>
      <c r="G280" s="223" t="n"/>
      <c r="H280" s="221" t="n"/>
      <c r="I280" s="232">
        <f>IF(OR(C280="",G280=""),"",IF(ISNUMBER(SEARCH(TRIM(G280),INDEX('ผู้รับ-ส่ง'!$Q$9:$Q$13,C280))),"✓ มีสิทธิ์รับ","⚠ ไม่อยู่ในรายชื่อ"))</f>
        <v/>
      </c>
      <c r="J280" s="223" t="n"/>
      <c r="K280" s="223" t="n"/>
      <c r="L280" s="233">
        <f>IF(C280="","",IFERROR(INDEX('ผู้รับ-ส่ง'!$O$9:$O$13,C280)&amp;"",""))</f>
        <v/>
      </c>
    </row>
    <row r="281">
      <c r="A281" s="221" t="n"/>
      <c r="B281" s="221" t="n"/>
      <c r="C281" s="221" t="n"/>
      <c r="D281" s="230">
        <f>IF(C281="","",IFERROR(INDEX('ข้อมูลนักเรียน'!$T$9:$T$13,C281),"ไม่พบเลขที่"))</f>
        <v/>
      </c>
      <c r="E281" s="221" t="n"/>
      <c r="F281" s="231" t="n"/>
      <c r="G281" s="223" t="n"/>
      <c r="H281" s="221" t="n"/>
      <c r="I281" s="232">
        <f>IF(OR(C281="",G281=""),"",IF(ISNUMBER(SEARCH(TRIM(G281),INDEX('ผู้รับ-ส่ง'!$Q$9:$Q$13,C281))),"✓ มีสิทธิ์รับ","⚠ ไม่อยู่ในรายชื่อ"))</f>
        <v/>
      </c>
      <c r="J281" s="223" t="n"/>
      <c r="K281" s="223" t="n"/>
      <c r="L281" s="233">
        <f>IF(C281="","",IFERROR(INDEX('ผู้รับ-ส่ง'!$O$9:$O$13,C281)&amp;"",""))</f>
        <v/>
      </c>
    </row>
    <row r="282">
      <c r="A282" s="221" t="n"/>
      <c r="B282" s="221" t="n"/>
      <c r="C282" s="221" t="n"/>
      <c r="D282" s="230">
        <f>IF(C282="","",IFERROR(INDEX('ข้อมูลนักเรียน'!$T$9:$T$13,C282),"ไม่พบเลขที่"))</f>
        <v/>
      </c>
      <c r="E282" s="221" t="n"/>
      <c r="F282" s="231" t="n"/>
      <c r="G282" s="223" t="n"/>
      <c r="H282" s="221" t="n"/>
      <c r="I282" s="232">
        <f>IF(OR(C282="",G282=""),"",IF(ISNUMBER(SEARCH(TRIM(G282),INDEX('ผู้รับ-ส่ง'!$Q$9:$Q$13,C282))),"✓ มีสิทธิ์รับ","⚠ ไม่อยู่ในรายชื่อ"))</f>
        <v/>
      </c>
      <c r="J282" s="223" t="n"/>
      <c r="K282" s="223" t="n"/>
      <c r="L282" s="233">
        <f>IF(C282="","",IFERROR(INDEX('ผู้รับ-ส่ง'!$O$9:$O$13,C282)&amp;"",""))</f>
        <v/>
      </c>
    </row>
    <row r="283">
      <c r="A283" s="221" t="n"/>
      <c r="B283" s="221" t="n"/>
      <c r="C283" s="221" t="n"/>
      <c r="D283" s="230">
        <f>IF(C283="","",IFERROR(INDEX('ข้อมูลนักเรียน'!$T$9:$T$13,C283),"ไม่พบเลขที่"))</f>
        <v/>
      </c>
      <c r="E283" s="221" t="n"/>
      <c r="F283" s="231" t="n"/>
      <c r="G283" s="223" t="n"/>
      <c r="H283" s="221" t="n"/>
      <c r="I283" s="232">
        <f>IF(OR(C283="",G283=""),"",IF(ISNUMBER(SEARCH(TRIM(G283),INDEX('ผู้รับ-ส่ง'!$Q$9:$Q$13,C283))),"✓ มีสิทธิ์รับ","⚠ ไม่อยู่ในรายชื่อ"))</f>
        <v/>
      </c>
      <c r="J283" s="223" t="n"/>
      <c r="K283" s="223" t="n"/>
      <c r="L283" s="233">
        <f>IF(C283="","",IFERROR(INDEX('ผู้รับ-ส่ง'!$O$9:$O$13,C283)&amp;"",""))</f>
        <v/>
      </c>
    </row>
    <row r="284">
      <c r="A284" s="221" t="n"/>
      <c r="B284" s="221" t="n"/>
      <c r="C284" s="221" t="n"/>
      <c r="D284" s="230">
        <f>IF(C284="","",IFERROR(INDEX('ข้อมูลนักเรียน'!$T$9:$T$13,C284),"ไม่พบเลขที่"))</f>
        <v/>
      </c>
      <c r="E284" s="221" t="n"/>
      <c r="F284" s="231" t="n"/>
      <c r="G284" s="223" t="n"/>
      <c r="H284" s="221" t="n"/>
      <c r="I284" s="232">
        <f>IF(OR(C284="",G284=""),"",IF(ISNUMBER(SEARCH(TRIM(G284),INDEX('ผู้รับ-ส่ง'!$Q$9:$Q$13,C284))),"✓ มีสิทธิ์รับ","⚠ ไม่อยู่ในรายชื่อ"))</f>
        <v/>
      </c>
      <c r="J284" s="223" t="n"/>
      <c r="K284" s="223" t="n"/>
      <c r="L284" s="233">
        <f>IF(C284="","",IFERROR(INDEX('ผู้รับ-ส่ง'!$O$9:$O$13,C284)&amp;"",""))</f>
        <v/>
      </c>
    </row>
    <row r="285">
      <c r="A285" s="221" t="n"/>
      <c r="B285" s="221" t="n"/>
      <c r="C285" s="221" t="n"/>
      <c r="D285" s="230">
        <f>IF(C285="","",IFERROR(INDEX('ข้อมูลนักเรียน'!$T$9:$T$13,C285),"ไม่พบเลขที่"))</f>
        <v/>
      </c>
      <c r="E285" s="221" t="n"/>
      <c r="F285" s="231" t="n"/>
      <c r="G285" s="223" t="n"/>
      <c r="H285" s="221" t="n"/>
      <c r="I285" s="232">
        <f>IF(OR(C285="",G285=""),"",IF(ISNUMBER(SEARCH(TRIM(G285),INDEX('ผู้รับ-ส่ง'!$Q$9:$Q$13,C285))),"✓ มีสิทธิ์รับ","⚠ ไม่อยู่ในรายชื่อ"))</f>
        <v/>
      </c>
      <c r="J285" s="223" t="n"/>
      <c r="K285" s="223" t="n"/>
      <c r="L285" s="233">
        <f>IF(C285="","",IFERROR(INDEX('ผู้รับ-ส่ง'!$O$9:$O$13,C285)&amp;"",""))</f>
        <v/>
      </c>
    </row>
    <row r="286">
      <c r="A286" s="221" t="n"/>
      <c r="B286" s="221" t="n"/>
      <c r="C286" s="221" t="n"/>
      <c r="D286" s="230">
        <f>IF(C286="","",IFERROR(INDEX('ข้อมูลนักเรียน'!$T$9:$T$13,C286),"ไม่พบเลขที่"))</f>
        <v/>
      </c>
      <c r="E286" s="221" t="n"/>
      <c r="F286" s="231" t="n"/>
      <c r="G286" s="223" t="n"/>
      <c r="H286" s="221" t="n"/>
      <c r="I286" s="232">
        <f>IF(OR(C286="",G286=""),"",IF(ISNUMBER(SEARCH(TRIM(G286),INDEX('ผู้รับ-ส่ง'!$Q$9:$Q$13,C286))),"✓ มีสิทธิ์รับ","⚠ ไม่อยู่ในรายชื่อ"))</f>
        <v/>
      </c>
      <c r="J286" s="223" t="n"/>
      <c r="K286" s="223" t="n"/>
      <c r="L286" s="233">
        <f>IF(C286="","",IFERROR(INDEX('ผู้รับ-ส่ง'!$O$9:$O$13,C286)&amp;"",""))</f>
        <v/>
      </c>
    </row>
    <row r="287">
      <c r="A287" s="221" t="n"/>
      <c r="B287" s="221" t="n"/>
      <c r="C287" s="221" t="n"/>
      <c r="D287" s="230">
        <f>IF(C287="","",IFERROR(INDEX('ข้อมูลนักเรียน'!$T$9:$T$13,C287),"ไม่พบเลขที่"))</f>
        <v/>
      </c>
      <c r="E287" s="221" t="n"/>
      <c r="F287" s="231" t="n"/>
      <c r="G287" s="223" t="n"/>
      <c r="H287" s="221" t="n"/>
      <c r="I287" s="232">
        <f>IF(OR(C287="",G287=""),"",IF(ISNUMBER(SEARCH(TRIM(G287),INDEX('ผู้รับ-ส่ง'!$Q$9:$Q$13,C287))),"✓ มีสิทธิ์รับ","⚠ ไม่อยู่ในรายชื่อ"))</f>
        <v/>
      </c>
      <c r="J287" s="223" t="n"/>
      <c r="K287" s="223" t="n"/>
      <c r="L287" s="233">
        <f>IF(C287="","",IFERROR(INDEX('ผู้รับ-ส่ง'!$O$9:$O$13,C287)&amp;"",""))</f>
        <v/>
      </c>
    </row>
    <row r="288">
      <c r="A288" s="221" t="n"/>
      <c r="B288" s="221" t="n"/>
      <c r="C288" s="221" t="n"/>
      <c r="D288" s="230">
        <f>IF(C288="","",IFERROR(INDEX('ข้อมูลนักเรียน'!$T$9:$T$13,C288),"ไม่พบเลขที่"))</f>
        <v/>
      </c>
      <c r="E288" s="221" t="n"/>
      <c r="F288" s="231" t="n"/>
      <c r="G288" s="223" t="n"/>
      <c r="H288" s="221" t="n"/>
      <c r="I288" s="232">
        <f>IF(OR(C288="",G288=""),"",IF(ISNUMBER(SEARCH(TRIM(G288),INDEX('ผู้รับ-ส่ง'!$Q$9:$Q$13,C288))),"✓ มีสิทธิ์รับ","⚠ ไม่อยู่ในรายชื่อ"))</f>
        <v/>
      </c>
      <c r="J288" s="223" t="n"/>
      <c r="K288" s="223" t="n"/>
      <c r="L288" s="233">
        <f>IF(C288="","",IFERROR(INDEX('ผู้รับ-ส่ง'!$O$9:$O$13,C288)&amp;"",""))</f>
        <v/>
      </c>
    </row>
    <row r="289">
      <c r="A289" s="221" t="n"/>
      <c r="B289" s="221" t="n"/>
      <c r="C289" s="221" t="n"/>
      <c r="D289" s="230">
        <f>IF(C289="","",IFERROR(INDEX('ข้อมูลนักเรียน'!$T$9:$T$13,C289),"ไม่พบเลขที่"))</f>
        <v/>
      </c>
      <c r="E289" s="221" t="n"/>
      <c r="F289" s="231" t="n"/>
      <c r="G289" s="223" t="n"/>
      <c r="H289" s="221" t="n"/>
      <c r="I289" s="232">
        <f>IF(OR(C289="",G289=""),"",IF(ISNUMBER(SEARCH(TRIM(G289),INDEX('ผู้รับ-ส่ง'!$Q$9:$Q$13,C289))),"✓ มีสิทธิ์รับ","⚠ ไม่อยู่ในรายชื่อ"))</f>
        <v/>
      </c>
      <c r="J289" s="223" t="n"/>
      <c r="K289" s="223" t="n"/>
      <c r="L289" s="233">
        <f>IF(C289="","",IFERROR(INDEX('ผู้รับ-ส่ง'!$O$9:$O$13,C289)&amp;"",""))</f>
        <v/>
      </c>
    </row>
    <row r="290">
      <c r="A290" s="221" t="n"/>
      <c r="B290" s="221" t="n"/>
      <c r="C290" s="221" t="n"/>
      <c r="D290" s="230">
        <f>IF(C290="","",IFERROR(INDEX('ข้อมูลนักเรียน'!$T$9:$T$13,C290),"ไม่พบเลขที่"))</f>
        <v/>
      </c>
      <c r="E290" s="221" t="n"/>
      <c r="F290" s="231" t="n"/>
      <c r="G290" s="223" t="n"/>
      <c r="H290" s="221" t="n"/>
      <c r="I290" s="232">
        <f>IF(OR(C290="",G290=""),"",IF(ISNUMBER(SEARCH(TRIM(G290),INDEX('ผู้รับ-ส่ง'!$Q$9:$Q$13,C290))),"✓ มีสิทธิ์รับ","⚠ ไม่อยู่ในรายชื่อ"))</f>
        <v/>
      </c>
      <c r="J290" s="223" t="n"/>
      <c r="K290" s="223" t="n"/>
      <c r="L290" s="233">
        <f>IF(C290="","",IFERROR(INDEX('ผู้รับ-ส่ง'!$O$9:$O$13,C290)&amp;"",""))</f>
        <v/>
      </c>
    </row>
    <row r="291">
      <c r="A291" s="221" t="n"/>
      <c r="B291" s="221" t="n"/>
      <c r="C291" s="221" t="n"/>
      <c r="D291" s="230">
        <f>IF(C291="","",IFERROR(INDEX('ข้อมูลนักเรียน'!$T$9:$T$13,C291),"ไม่พบเลขที่"))</f>
        <v/>
      </c>
      <c r="E291" s="221" t="n"/>
      <c r="F291" s="231" t="n"/>
      <c r="G291" s="223" t="n"/>
      <c r="H291" s="221" t="n"/>
      <c r="I291" s="232">
        <f>IF(OR(C291="",G291=""),"",IF(ISNUMBER(SEARCH(TRIM(G291),INDEX('ผู้รับ-ส่ง'!$Q$9:$Q$13,C291))),"✓ มีสิทธิ์รับ","⚠ ไม่อยู่ในรายชื่อ"))</f>
        <v/>
      </c>
      <c r="J291" s="223" t="n"/>
      <c r="K291" s="223" t="n"/>
      <c r="L291" s="233">
        <f>IF(C291="","",IFERROR(INDEX('ผู้รับ-ส่ง'!$O$9:$O$13,C291)&amp;"",""))</f>
        <v/>
      </c>
    </row>
    <row r="292">
      <c r="A292" s="221" t="n"/>
      <c r="B292" s="221" t="n"/>
      <c r="C292" s="221" t="n"/>
      <c r="D292" s="230">
        <f>IF(C292="","",IFERROR(INDEX('ข้อมูลนักเรียน'!$T$9:$T$13,C292),"ไม่พบเลขที่"))</f>
        <v/>
      </c>
      <c r="E292" s="221" t="n"/>
      <c r="F292" s="231" t="n"/>
      <c r="G292" s="223" t="n"/>
      <c r="H292" s="221" t="n"/>
      <c r="I292" s="232">
        <f>IF(OR(C292="",G292=""),"",IF(ISNUMBER(SEARCH(TRIM(G292),INDEX('ผู้รับ-ส่ง'!$Q$9:$Q$13,C292))),"✓ มีสิทธิ์รับ","⚠ ไม่อยู่ในรายชื่อ"))</f>
        <v/>
      </c>
      <c r="J292" s="223" t="n"/>
      <c r="K292" s="223" t="n"/>
      <c r="L292" s="233">
        <f>IF(C292="","",IFERROR(INDEX('ผู้รับ-ส่ง'!$O$9:$O$13,C292)&amp;"",""))</f>
        <v/>
      </c>
    </row>
    <row r="293">
      <c r="A293" s="221" t="n"/>
      <c r="B293" s="221" t="n"/>
      <c r="C293" s="221" t="n"/>
      <c r="D293" s="230">
        <f>IF(C293="","",IFERROR(INDEX('ข้อมูลนักเรียน'!$T$9:$T$13,C293),"ไม่พบเลขที่"))</f>
        <v/>
      </c>
      <c r="E293" s="221" t="n"/>
      <c r="F293" s="231" t="n"/>
      <c r="G293" s="223" t="n"/>
      <c r="H293" s="221" t="n"/>
      <c r="I293" s="232">
        <f>IF(OR(C293="",G293=""),"",IF(ISNUMBER(SEARCH(TRIM(G293),INDEX('ผู้รับ-ส่ง'!$Q$9:$Q$13,C293))),"✓ มีสิทธิ์รับ","⚠ ไม่อยู่ในรายชื่อ"))</f>
        <v/>
      </c>
      <c r="J293" s="223" t="n"/>
      <c r="K293" s="223" t="n"/>
      <c r="L293" s="233">
        <f>IF(C293="","",IFERROR(INDEX('ผู้รับ-ส่ง'!$O$9:$O$13,C293)&amp;"",""))</f>
        <v/>
      </c>
    </row>
    <row r="294">
      <c r="A294" s="221" t="n"/>
      <c r="B294" s="221" t="n"/>
      <c r="C294" s="221" t="n"/>
      <c r="D294" s="230">
        <f>IF(C294="","",IFERROR(INDEX('ข้อมูลนักเรียน'!$T$9:$T$13,C294),"ไม่พบเลขที่"))</f>
        <v/>
      </c>
      <c r="E294" s="221" t="n"/>
      <c r="F294" s="231" t="n"/>
      <c r="G294" s="223" t="n"/>
      <c r="H294" s="221" t="n"/>
      <c r="I294" s="232">
        <f>IF(OR(C294="",G294=""),"",IF(ISNUMBER(SEARCH(TRIM(G294),INDEX('ผู้รับ-ส่ง'!$Q$9:$Q$13,C294))),"✓ มีสิทธิ์รับ","⚠ ไม่อยู่ในรายชื่อ"))</f>
        <v/>
      </c>
      <c r="J294" s="223" t="n"/>
      <c r="K294" s="223" t="n"/>
      <c r="L294" s="233">
        <f>IF(C294="","",IFERROR(INDEX('ผู้รับ-ส่ง'!$O$9:$O$13,C294)&amp;"",""))</f>
        <v/>
      </c>
    </row>
    <row r="295">
      <c r="A295" s="221" t="n"/>
      <c r="B295" s="221" t="n"/>
      <c r="C295" s="221" t="n"/>
      <c r="D295" s="230">
        <f>IF(C295="","",IFERROR(INDEX('ข้อมูลนักเรียน'!$T$9:$T$13,C295),"ไม่พบเลขที่"))</f>
        <v/>
      </c>
      <c r="E295" s="221" t="n"/>
      <c r="F295" s="231" t="n"/>
      <c r="G295" s="223" t="n"/>
      <c r="H295" s="221" t="n"/>
      <c r="I295" s="232">
        <f>IF(OR(C295="",G295=""),"",IF(ISNUMBER(SEARCH(TRIM(G295),INDEX('ผู้รับ-ส่ง'!$Q$9:$Q$13,C295))),"✓ มีสิทธิ์รับ","⚠ ไม่อยู่ในรายชื่อ"))</f>
        <v/>
      </c>
      <c r="J295" s="223" t="n"/>
      <c r="K295" s="223" t="n"/>
      <c r="L295" s="233">
        <f>IF(C295="","",IFERROR(INDEX('ผู้รับ-ส่ง'!$O$9:$O$13,C295)&amp;"",""))</f>
        <v/>
      </c>
    </row>
    <row r="296">
      <c r="A296" s="221" t="n"/>
      <c r="B296" s="221" t="n"/>
      <c r="C296" s="221" t="n"/>
      <c r="D296" s="230">
        <f>IF(C296="","",IFERROR(INDEX('ข้อมูลนักเรียน'!$T$9:$T$13,C296),"ไม่พบเลขที่"))</f>
        <v/>
      </c>
      <c r="E296" s="221" t="n"/>
      <c r="F296" s="231" t="n"/>
      <c r="G296" s="223" t="n"/>
      <c r="H296" s="221" t="n"/>
      <c r="I296" s="232">
        <f>IF(OR(C296="",G296=""),"",IF(ISNUMBER(SEARCH(TRIM(G296),INDEX('ผู้รับ-ส่ง'!$Q$9:$Q$13,C296))),"✓ มีสิทธิ์รับ","⚠ ไม่อยู่ในรายชื่อ"))</f>
        <v/>
      </c>
      <c r="J296" s="223" t="n"/>
      <c r="K296" s="223" t="n"/>
      <c r="L296" s="233">
        <f>IF(C296="","",IFERROR(INDEX('ผู้รับ-ส่ง'!$O$9:$O$13,C296)&amp;"",""))</f>
        <v/>
      </c>
    </row>
    <row r="297">
      <c r="A297" s="221" t="n"/>
      <c r="B297" s="221" t="n"/>
      <c r="C297" s="221" t="n"/>
      <c r="D297" s="230">
        <f>IF(C297="","",IFERROR(INDEX('ข้อมูลนักเรียน'!$T$9:$T$13,C297),"ไม่พบเลขที่"))</f>
        <v/>
      </c>
      <c r="E297" s="221" t="n"/>
      <c r="F297" s="231" t="n"/>
      <c r="G297" s="223" t="n"/>
      <c r="H297" s="221" t="n"/>
      <c r="I297" s="232">
        <f>IF(OR(C297="",G297=""),"",IF(ISNUMBER(SEARCH(TRIM(G297),INDEX('ผู้รับ-ส่ง'!$Q$9:$Q$13,C297))),"✓ มีสิทธิ์รับ","⚠ ไม่อยู่ในรายชื่อ"))</f>
        <v/>
      </c>
      <c r="J297" s="223" t="n"/>
      <c r="K297" s="223" t="n"/>
      <c r="L297" s="233">
        <f>IF(C297="","",IFERROR(INDEX('ผู้รับ-ส่ง'!$O$9:$O$13,C297)&amp;"",""))</f>
        <v/>
      </c>
    </row>
    <row r="298">
      <c r="A298" s="221" t="n"/>
      <c r="B298" s="221" t="n"/>
      <c r="C298" s="221" t="n"/>
      <c r="D298" s="230">
        <f>IF(C298="","",IFERROR(INDEX('ข้อมูลนักเรียน'!$T$9:$T$13,C298),"ไม่พบเลขที่"))</f>
        <v/>
      </c>
      <c r="E298" s="221" t="n"/>
      <c r="F298" s="231" t="n"/>
      <c r="G298" s="223" t="n"/>
      <c r="H298" s="221" t="n"/>
      <c r="I298" s="232">
        <f>IF(OR(C298="",G298=""),"",IF(ISNUMBER(SEARCH(TRIM(G298),INDEX('ผู้รับ-ส่ง'!$Q$9:$Q$13,C298))),"✓ มีสิทธิ์รับ","⚠ ไม่อยู่ในรายชื่อ"))</f>
        <v/>
      </c>
      <c r="J298" s="223" t="n"/>
      <c r="K298" s="223" t="n"/>
      <c r="L298" s="233">
        <f>IF(C298="","",IFERROR(INDEX('ผู้รับ-ส่ง'!$O$9:$O$13,C298)&amp;"",""))</f>
        <v/>
      </c>
    </row>
    <row r="299">
      <c r="A299" s="221" t="n"/>
      <c r="B299" s="221" t="n"/>
      <c r="C299" s="221" t="n"/>
      <c r="D299" s="230">
        <f>IF(C299="","",IFERROR(INDEX('ข้อมูลนักเรียน'!$T$9:$T$13,C299),"ไม่พบเลขที่"))</f>
        <v/>
      </c>
      <c r="E299" s="221" t="n"/>
      <c r="F299" s="231" t="n"/>
      <c r="G299" s="223" t="n"/>
      <c r="H299" s="221" t="n"/>
      <c r="I299" s="232">
        <f>IF(OR(C299="",G299=""),"",IF(ISNUMBER(SEARCH(TRIM(G299),INDEX('ผู้รับ-ส่ง'!$Q$9:$Q$13,C299))),"✓ มีสิทธิ์รับ","⚠ ไม่อยู่ในรายชื่อ"))</f>
        <v/>
      </c>
      <c r="J299" s="223" t="n"/>
      <c r="K299" s="223" t="n"/>
      <c r="L299" s="233">
        <f>IF(C299="","",IFERROR(INDEX('ผู้รับ-ส่ง'!$O$9:$O$13,C299)&amp;"",""))</f>
        <v/>
      </c>
    </row>
    <row r="300">
      <c r="A300" s="221" t="n"/>
      <c r="B300" s="221" t="n"/>
      <c r="C300" s="221" t="n"/>
      <c r="D300" s="230">
        <f>IF(C300="","",IFERROR(INDEX('ข้อมูลนักเรียน'!$T$9:$T$13,C300),"ไม่พบเลขที่"))</f>
        <v/>
      </c>
      <c r="E300" s="221" t="n"/>
      <c r="F300" s="231" t="n"/>
      <c r="G300" s="223" t="n"/>
      <c r="H300" s="221" t="n"/>
      <c r="I300" s="232">
        <f>IF(OR(C300="",G300=""),"",IF(ISNUMBER(SEARCH(TRIM(G300),INDEX('ผู้รับ-ส่ง'!$Q$9:$Q$13,C300))),"✓ มีสิทธิ์รับ","⚠ ไม่อยู่ในรายชื่อ"))</f>
        <v/>
      </c>
      <c r="J300" s="223" t="n"/>
      <c r="K300" s="223" t="n"/>
      <c r="L300" s="233">
        <f>IF(C300="","",IFERROR(INDEX('ผู้รับ-ส่ง'!$O$9:$O$13,C300)&amp;"",""))</f>
        <v/>
      </c>
    </row>
    <row r="301">
      <c r="A301" s="221" t="n"/>
      <c r="B301" s="221" t="n"/>
      <c r="C301" s="221" t="n"/>
      <c r="D301" s="230">
        <f>IF(C301="","",IFERROR(INDEX('ข้อมูลนักเรียน'!$T$9:$T$13,C301),"ไม่พบเลขที่"))</f>
        <v/>
      </c>
      <c r="E301" s="221" t="n"/>
      <c r="F301" s="231" t="n"/>
      <c r="G301" s="223" t="n"/>
      <c r="H301" s="221" t="n"/>
      <c r="I301" s="232">
        <f>IF(OR(C301="",G301=""),"",IF(ISNUMBER(SEARCH(TRIM(G301),INDEX('ผู้รับ-ส่ง'!$Q$9:$Q$13,C301))),"✓ มีสิทธิ์รับ","⚠ ไม่อยู่ในรายชื่อ"))</f>
        <v/>
      </c>
      <c r="J301" s="223" t="n"/>
      <c r="K301" s="223" t="n"/>
      <c r="L301" s="233">
        <f>IF(C301="","",IFERROR(INDEX('ผู้รับ-ส่ง'!$O$9:$O$13,C301)&amp;"",""))</f>
        <v/>
      </c>
    </row>
    <row r="302">
      <c r="A302" s="221" t="n"/>
      <c r="B302" s="221" t="n"/>
      <c r="C302" s="221" t="n"/>
      <c r="D302" s="230">
        <f>IF(C302="","",IFERROR(INDEX('ข้อมูลนักเรียน'!$T$9:$T$13,C302),"ไม่พบเลขที่"))</f>
        <v/>
      </c>
      <c r="E302" s="221" t="n"/>
      <c r="F302" s="231" t="n"/>
      <c r="G302" s="223" t="n"/>
      <c r="H302" s="221" t="n"/>
      <c r="I302" s="232">
        <f>IF(OR(C302="",G302=""),"",IF(ISNUMBER(SEARCH(TRIM(G302),INDEX('ผู้รับ-ส่ง'!$Q$9:$Q$13,C302))),"✓ มีสิทธิ์รับ","⚠ ไม่อยู่ในรายชื่อ"))</f>
        <v/>
      </c>
      <c r="J302" s="223" t="n"/>
      <c r="K302" s="223" t="n"/>
      <c r="L302" s="233">
        <f>IF(C302="","",IFERROR(INDEX('ผู้รับ-ส่ง'!$O$9:$O$13,C302)&amp;"",""))</f>
        <v/>
      </c>
    </row>
    <row r="303">
      <c r="A303" s="221" t="n"/>
      <c r="B303" s="221" t="n"/>
      <c r="C303" s="221" t="n"/>
      <c r="D303" s="230">
        <f>IF(C303="","",IFERROR(INDEX('ข้อมูลนักเรียน'!$T$9:$T$13,C303),"ไม่พบเลขที่"))</f>
        <v/>
      </c>
      <c r="E303" s="221" t="n"/>
      <c r="F303" s="231" t="n"/>
      <c r="G303" s="223" t="n"/>
      <c r="H303" s="221" t="n"/>
      <c r="I303" s="232">
        <f>IF(OR(C303="",G303=""),"",IF(ISNUMBER(SEARCH(TRIM(G303),INDEX('ผู้รับ-ส่ง'!$Q$9:$Q$13,C303))),"✓ มีสิทธิ์รับ","⚠ ไม่อยู่ในรายชื่อ"))</f>
        <v/>
      </c>
      <c r="J303" s="223" t="n"/>
      <c r="K303" s="223" t="n"/>
      <c r="L303" s="233">
        <f>IF(C303="","",IFERROR(INDEX('ผู้รับ-ส่ง'!$O$9:$O$13,C303)&amp;"",""))</f>
        <v/>
      </c>
    </row>
    <row r="304">
      <c r="A304" s="221" t="n"/>
      <c r="B304" s="221" t="n"/>
      <c r="C304" s="221" t="n"/>
      <c r="D304" s="230">
        <f>IF(C304="","",IFERROR(INDEX('ข้อมูลนักเรียน'!$T$9:$T$13,C304),"ไม่พบเลขที่"))</f>
        <v/>
      </c>
      <c r="E304" s="221" t="n"/>
      <c r="F304" s="231" t="n"/>
      <c r="G304" s="223" t="n"/>
      <c r="H304" s="221" t="n"/>
      <c r="I304" s="232">
        <f>IF(OR(C304="",G304=""),"",IF(ISNUMBER(SEARCH(TRIM(G304),INDEX('ผู้รับ-ส่ง'!$Q$9:$Q$13,C304))),"✓ มีสิทธิ์รับ","⚠ ไม่อยู่ในรายชื่อ"))</f>
        <v/>
      </c>
      <c r="J304" s="223" t="n"/>
      <c r="K304" s="223" t="n"/>
      <c r="L304" s="233">
        <f>IF(C304="","",IFERROR(INDEX('ผู้รับ-ส่ง'!$O$9:$O$13,C304)&amp;"",""))</f>
        <v/>
      </c>
    </row>
    <row r="305">
      <c r="A305" s="221" t="n"/>
      <c r="B305" s="221" t="n"/>
      <c r="C305" s="221" t="n"/>
      <c r="D305" s="230">
        <f>IF(C305="","",IFERROR(INDEX('ข้อมูลนักเรียน'!$T$9:$T$13,C305),"ไม่พบเลขที่"))</f>
        <v/>
      </c>
      <c r="E305" s="221" t="n"/>
      <c r="F305" s="231" t="n"/>
      <c r="G305" s="223" t="n"/>
      <c r="H305" s="221" t="n"/>
      <c r="I305" s="232">
        <f>IF(OR(C305="",G305=""),"",IF(ISNUMBER(SEARCH(TRIM(G305),INDEX('ผู้รับ-ส่ง'!$Q$9:$Q$13,C305))),"✓ มีสิทธิ์รับ","⚠ ไม่อยู่ในรายชื่อ"))</f>
        <v/>
      </c>
      <c r="J305" s="223" t="n"/>
      <c r="K305" s="223" t="n"/>
      <c r="L305" s="233">
        <f>IF(C305="","",IFERROR(INDEX('ผู้รับ-ส่ง'!$O$9:$O$13,C305)&amp;"",""))</f>
        <v/>
      </c>
    </row>
    <row r="306">
      <c r="A306" s="221" t="n"/>
      <c r="B306" s="221" t="n"/>
      <c r="C306" s="221" t="n"/>
      <c r="D306" s="230">
        <f>IF(C306="","",IFERROR(INDEX('ข้อมูลนักเรียน'!$T$9:$T$13,C306),"ไม่พบเลขที่"))</f>
        <v/>
      </c>
      <c r="E306" s="221" t="n"/>
      <c r="F306" s="231" t="n"/>
      <c r="G306" s="223" t="n"/>
      <c r="H306" s="221" t="n"/>
      <c r="I306" s="232">
        <f>IF(OR(C306="",G306=""),"",IF(ISNUMBER(SEARCH(TRIM(G306),INDEX('ผู้รับ-ส่ง'!$Q$9:$Q$13,C306))),"✓ มีสิทธิ์รับ","⚠ ไม่อยู่ในรายชื่อ"))</f>
        <v/>
      </c>
      <c r="J306" s="223" t="n"/>
      <c r="K306" s="223" t="n"/>
      <c r="L306" s="233">
        <f>IF(C306="","",IFERROR(INDEX('ผู้รับ-ส่ง'!$O$9:$O$13,C306)&amp;"",""))</f>
        <v/>
      </c>
    </row>
    <row r="307">
      <c r="A307" s="221" t="n"/>
      <c r="B307" s="221" t="n"/>
      <c r="C307" s="221" t="n"/>
      <c r="D307" s="230">
        <f>IF(C307="","",IFERROR(INDEX('ข้อมูลนักเรียน'!$T$9:$T$13,C307),"ไม่พบเลขที่"))</f>
        <v/>
      </c>
      <c r="E307" s="221" t="n"/>
      <c r="F307" s="231" t="n"/>
      <c r="G307" s="223" t="n"/>
      <c r="H307" s="221" t="n"/>
      <c r="I307" s="232">
        <f>IF(OR(C307="",G307=""),"",IF(ISNUMBER(SEARCH(TRIM(G307),INDEX('ผู้รับ-ส่ง'!$Q$9:$Q$13,C307))),"✓ มีสิทธิ์รับ","⚠ ไม่อยู่ในรายชื่อ"))</f>
        <v/>
      </c>
      <c r="J307" s="223" t="n"/>
      <c r="K307" s="223" t="n"/>
      <c r="L307" s="233">
        <f>IF(C307="","",IFERROR(INDEX('ผู้รับ-ส่ง'!$O$9:$O$13,C307)&amp;"",""))</f>
        <v/>
      </c>
    </row>
    <row r="308">
      <c r="A308" s="221" t="n"/>
      <c r="B308" s="221" t="n"/>
      <c r="C308" s="221" t="n"/>
      <c r="D308" s="230">
        <f>IF(C308="","",IFERROR(INDEX('ข้อมูลนักเรียน'!$T$9:$T$13,C308),"ไม่พบเลขที่"))</f>
        <v/>
      </c>
      <c r="E308" s="221" t="n"/>
      <c r="F308" s="231" t="n"/>
      <c r="G308" s="223" t="n"/>
      <c r="H308" s="221" t="n"/>
      <c r="I308" s="232">
        <f>IF(OR(C308="",G308=""),"",IF(ISNUMBER(SEARCH(TRIM(G308),INDEX('ผู้รับ-ส่ง'!$Q$9:$Q$13,C308))),"✓ มีสิทธิ์รับ","⚠ ไม่อยู่ในรายชื่อ"))</f>
        <v/>
      </c>
      <c r="J308" s="223" t="n"/>
      <c r="K308" s="223" t="n"/>
      <c r="L308" s="233">
        <f>IF(C308="","",IFERROR(INDEX('ผู้รับ-ส่ง'!$O$9:$O$13,C308)&amp;"",""))</f>
        <v/>
      </c>
    </row>
    <row r="309">
      <c r="A309" s="221" t="n"/>
      <c r="B309" s="221" t="n"/>
      <c r="C309" s="221" t="n"/>
      <c r="D309" s="230">
        <f>IF(C309="","",IFERROR(INDEX('ข้อมูลนักเรียน'!$T$9:$T$13,C309),"ไม่พบเลขที่"))</f>
        <v/>
      </c>
      <c r="E309" s="221" t="n"/>
      <c r="F309" s="231" t="n"/>
      <c r="G309" s="223" t="n"/>
      <c r="H309" s="221" t="n"/>
      <c r="I309" s="232">
        <f>IF(OR(C309="",G309=""),"",IF(ISNUMBER(SEARCH(TRIM(G309),INDEX('ผู้รับ-ส่ง'!$Q$9:$Q$13,C309))),"✓ มีสิทธิ์รับ","⚠ ไม่อยู่ในรายชื่อ"))</f>
        <v/>
      </c>
      <c r="J309" s="223" t="n"/>
      <c r="K309" s="223" t="n"/>
      <c r="L309" s="233">
        <f>IF(C309="","",IFERROR(INDEX('ผู้รับ-ส่ง'!$O$9:$O$13,C309)&amp;"",""))</f>
        <v/>
      </c>
    </row>
    <row r="310">
      <c r="A310" s="221" t="n"/>
      <c r="B310" s="221" t="n"/>
      <c r="C310" s="221" t="n"/>
      <c r="D310" s="230">
        <f>IF(C310="","",IFERROR(INDEX('ข้อมูลนักเรียน'!$T$9:$T$13,C310),"ไม่พบเลขที่"))</f>
        <v/>
      </c>
      <c r="E310" s="221" t="n"/>
      <c r="F310" s="231" t="n"/>
      <c r="G310" s="223" t="n"/>
      <c r="H310" s="221" t="n"/>
      <c r="I310" s="232">
        <f>IF(OR(C310="",G310=""),"",IF(ISNUMBER(SEARCH(TRIM(G310),INDEX('ผู้รับ-ส่ง'!$Q$9:$Q$13,C310))),"✓ มีสิทธิ์รับ","⚠ ไม่อยู่ในรายชื่อ"))</f>
        <v/>
      </c>
      <c r="J310" s="223" t="n"/>
      <c r="K310" s="223" t="n"/>
      <c r="L310" s="233">
        <f>IF(C310="","",IFERROR(INDEX('ผู้รับ-ส่ง'!$O$9:$O$13,C310)&amp;"",""))</f>
        <v/>
      </c>
    </row>
    <row r="311">
      <c r="A311" s="221" t="n"/>
      <c r="B311" s="221" t="n"/>
      <c r="C311" s="221" t="n"/>
      <c r="D311" s="230">
        <f>IF(C311="","",IFERROR(INDEX('ข้อมูลนักเรียน'!$T$9:$T$13,C311),"ไม่พบเลขที่"))</f>
        <v/>
      </c>
      <c r="E311" s="221" t="n"/>
      <c r="F311" s="231" t="n"/>
      <c r="G311" s="223" t="n"/>
      <c r="H311" s="221" t="n"/>
      <c r="I311" s="232">
        <f>IF(OR(C311="",G311=""),"",IF(ISNUMBER(SEARCH(TRIM(G311),INDEX('ผู้รับ-ส่ง'!$Q$9:$Q$13,C311))),"✓ มีสิทธิ์รับ","⚠ ไม่อยู่ในรายชื่อ"))</f>
        <v/>
      </c>
      <c r="J311" s="223" t="n"/>
      <c r="K311" s="223" t="n"/>
      <c r="L311" s="233">
        <f>IF(C311="","",IFERROR(INDEX('ผู้รับ-ส่ง'!$O$9:$O$13,C311)&amp;"",""))</f>
        <v/>
      </c>
    </row>
    <row r="312">
      <c r="A312" s="221" t="n"/>
      <c r="B312" s="221" t="n"/>
      <c r="C312" s="221" t="n"/>
      <c r="D312" s="230">
        <f>IF(C312="","",IFERROR(INDEX('ข้อมูลนักเรียน'!$T$9:$T$13,C312),"ไม่พบเลขที่"))</f>
        <v/>
      </c>
      <c r="E312" s="221" t="n"/>
      <c r="F312" s="231" t="n"/>
      <c r="G312" s="223" t="n"/>
      <c r="H312" s="221" t="n"/>
      <c r="I312" s="232">
        <f>IF(OR(C312="",G312=""),"",IF(ISNUMBER(SEARCH(TRIM(G312),INDEX('ผู้รับ-ส่ง'!$Q$9:$Q$13,C312))),"✓ มีสิทธิ์รับ","⚠ ไม่อยู่ในรายชื่อ"))</f>
        <v/>
      </c>
      <c r="J312" s="223" t="n"/>
      <c r="K312" s="223" t="n"/>
      <c r="L312" s="233">
        <f>IF(C312="","",IFERROR(INDEX('ผู้รับ-ส่ง'!$O$9:$O$13,C312)&amp;"",""))</f>
        <v/>
      </c>
    </row>
    <row r="313">
      <c r="A313" s="221" t="n"/>
      <c r="B313" s="221" t="n"/>
      <c r="C313" s="221" t="n"/>
      <c r="D313" s="230">
        <f>IF(C313="","",IFERROR(INDEX('ข้อมูลนักเรียน'!$T$9:$T$13,C313),"ไม่พบเลขที่"))</f>
        <v/>
      </c>
      <c r="E313" s="221" t="n"/>
      <c r="F313" s="231" t="n"/>
      <c r="G313" s="223" t="n"/>
      <c r="H313" s="221" t="n"/>
      <c r="I313" s="232">
        <f>IF(OR(C313="",G313=""),"",IF(ISNUMBER(SEARCH(TRIM(G313),INDEX('ผู้รับ-ส่ง'!$Q$9:$Q$13,C313))),"✓ มีสิทธิ์รับ","⚠ ไม่อยู่ในรายชื่อ"))</f>
        <v/>
      </c>
      <c r="J313" s="223" t="n"/>
      <c r="K313" s="223" t="n"/>
      <c r="L313" s="233">
        <f>IF(C313="","",IFERROR(INDEX('ผู้รับ-ส่ง'!$O$9:$O$13,C313)&amp;"",""))</f>
        <v/>
      </c>
    </row>
    <row r="314">
      <c r="A314" s="221" t="n"/>
      <c r="B314" s="221" t="n"/>
      <c r="C314" s="221" t="n"/>
      <c r="D314" s="230">
        <f>IF(C314="","",IFERROR(INDEX('ข้อมูลนักเรียน'!$T$9:$T$13,C314),"ไม่พบเลขที่"))</f>
        <v/>
      </c>
      <c r="E314" s="221" t="n"/>
      <c r="F314" s="231" t="n"/>
      <c r="G314" s="223" t="n"/>
      <c r="H314" s="221" t="n"/>
      <c r="I314" s="232">
        <f>IF(OR(C314="",G314=""),"",IF(ISNUMBER(SEARCH(TRIM(G314),INDEX('ผู้รับ-ส่ง'!$Q$9:$Q$13,C314))),"✓ มีสิทธิ์รับ","⚠ ไม่อยู่ในรายชื่อ"))</f>
        <v/>
      </c>
      <c r="J314" s="223" t="n"/>
      <c r="K314" s="223" t="n"/>
      <c r="L314" s="233">
        <f>IF(C314="","",IFERROR(INDEX('ผู้รับ-ส่ง'!$O$9:$O$13,C314)&amp;"",""))</f>
        <v/>
      </c>
    </row>
    <row r="315">
      <c r="A315" s="221" t="n"/>
      <c r="B315" s="221" t="n"/>
      <c r="C315" s="221" t="n"/>
      <c r="D315" s="230">
        <f>IF(C315="","",IFERROR(INDEX('ข้อมูลนักเรียน'!$T$9:$T$13,C315),"ไม่พบเลขที่"))</f>
        <v/>
      </c>
      <c r="E315" s="221" t="n"/>
      <c r="F315" s="231" t="n"/>
      <c r="G315" s="223" t="n"/>
      <c r="H315" s="221" t="n"/>
      <c r="I315" s="232">
        <f>IF(OR(C315="",G315=""),"",IF(ISNUMBER(SEARCH(TRIM(G315),INDEX('ผู้รับ-ส่ง'!$Q$9:$Q$13,C315))),"✓ มีสิทธิ์รับ","⚠ ไม่อยู่ในรายชื่อ"))</f>
        <v/>
      </c>
      <c r="J315" s="223" t="n"/>
      <c r="K315" s="223" t="n"/>
      <c r="L315" s="233">
        <f>IF(C315="","",IFERROR(INDEX('ผู้รับ-ส่ง'!$O$9:$O$13,C315)&amp;"",""))</f>
        <v/>
      </c>
    </row>
    <row r="316">
      <c r="A316" s="221" t="n"/>
      <c r="B316" s="221" t="n"/>
      <c r="C316" s="221" t="n"/>
      <c r="D316" s="230">
        <f>IF(C316="","",IFERROR(INDEX('ข้อมูลนักเรียน'!$T$9:$T$13,C316),"ไม่พบเลขที่"))</f>
        <v/>
      </c>
      <c r="E316" s="221" t="n"/>
      <c r="F316" s="231" t="n"/>
      <c r="G316" s="223" t="n"/>
      <c r="H316" s="221" t="n"/>
      <c r="I316" s="232">
        <f>IF(OR(C316="",G316=""),"",IF(ISNUMBER(SEARCH(TRIM(G316),INDEX('ผู้รับ-ส่ง'!$Q$9:$Q$13,C316))),"✓ มีสิทธิ์รับ","⚠ ไม่อยู่ในรายชื่อ"))</f>
        <v/>
      </c>
      <c r="J316" s="223" t="n"/>
      <c r="K316" s="223" t="n"/>
      <c r="L316" s="233">
        <f>IF(C316="","",IFERROR(INDEX('ผู้รับ-ส่ง'!$O$9:$O$13,C316)&amp;"",""))</f>
        <v/>
      </c>
    </row>
    <row r="317">
      <c r="A317" s="221" t="n"/>
      <c r="B317" s="221" t="n"/>
      <c r="C317" s="221" t="n"/>
      <c r="D317" s="230">
        <f>IF(C317="","",IFERROR(INDEX('ข้อมูลนักเรียน'!$T$9:$T$13,C317),"ไม่พบเลขที่"))</f>
        <v/>
      </c>
      <c r="E317" s="221" t="n"/>
      <c r="F317" s="231" t="n"/>
      <c r="G317" s="223" t="n"/>
      <c r="H317" s="221" t="n"/>
      <c r="I317" s="232">
        <f>IF(OR(C317="",G317=""),"",IF(ISNUMBER(SEARCH(TRIM(G317),INDEX('ผู้รับ-ส่ง'!$Q$9:$Q$13,C317))),"✓ มีสิทธิ์รับ","⚠ ไม่อยู่ในรายชื่อ"))</f>
        <v/>
      </c>
      <c r="J317" s="223" t="n"/>
      <c r="K317" s="223" t="n"/>
      <c r="L317" s="233">
        <f>IF(C317="","",IFERROR(INDEX('ผู้รับ-ส่ง'!$O$9:$O$13,C317)&amp;"",""))</f>
        <v/>
      </c>
    </row>
    <row r="318">
      <c r="A318" s="221" t="n"/>
      <c r="B318" s="221" t="n"/>
      <c r="C318" s="221" t="n"/>
      <c r="D318" s="230">
        <f>IF(C318="","",IFERROR(INDEX('ข้อมูลนักเรียน'!$T$9:$T$13,C318),"ไม่พบเลขที่"))</f>
        <v/>
      </c>
      <c r="E318" s="221" t="n"/>
      <c r="F318" s="231" t="n"/>
      <c r="G318" s="223" t="n"/>
      <c r="H318" s="221" t="n"/>
      <c r="I318" s="232">
        <f>IF(OR(C318="",G318=""),"",IF(ISNUMBER(SEARCH(TRIM(G318),INDEX('ผู้รับ-ส่ง'!$Q$9:$Q$13,C318))),"✓ มีสิทธิ์รับ","⚠ ไม่อยู่ในรายชื่อ"))</f>
        <v/>
      </c>
      <c r="J318" s="223" t="n"/>
      <c r="K318" s="223" t="n"/>
      <c r="L318" s="233">
        <f>IF(C318="","",IFERROR(INDEX('ผู้รับ-ส่ง'!$O$9:$O$13,C318)&amp;"",""))</f>
        <v/>
      </c>
    </row>
    <row r="319">
      <c r="A319" s="221" t="n"/>
      <c r="B319" s="221" t="n"/>
      <c r="C319" s="221" t="n"/>
      <c r="D319" s="230">
        <f>IF(C319="","",IFERROR(INDEX('ข้อมูลนักเรียน'!$T$9:$T$13,C319),"ไม่พบเลขที่"))</f>
        <v/>
      </c>
      <c r="E319" s="221" t="n"/>
      <c r="F319" s="231" t="n"/>
      <c r="G319" s="223" t="n"/>
      <c r="H319" s="221" t="n"/>
      <c r="I319" s="232">
        <f>IF(OR(C319="",G319=""),"",IF(ISNUMBER(SEARCH(TRIM(G319),INDEX('ผู้รับ-ส่ง'!$Q$9:$Q$13,C319))),"✓ มีสิทธิ์รับ","⚠ ไม่อยู่ในรายชื่อ"))</f>
        <v/>
      </c>
      <c r="J319" s="223" t="n"/>
      <c r="K319" s="223" t="n"/>
      <c r="L319" s="233">
        <f>IF(C319="","",IFERROR(INDEX('ผู้รับ-ส่ง'!$O$9:$O$13,C319)&amp;"",""))</f>
        <v/>
      </c>
    </row>
    <row r="320">
      <c r="A320" s="221" t="n"/>
      <c r="B320" s="221" t="n"/>
      <c r="C320" s="221" t="n"/>
      <c r="D320" s="230">
        <f>IF(C320="","",IFERROR(INDEX('ข้อมูลนักเรียน'!$T$9:$T$13,C320),"ไม่พบเลขที่"))</f>
        <v/>
      </c>
      <c r="E320" s="221" t="n"/>
      <c r="F320" s="231" t="n"/>
      <c r="G320" s="223" t="n"/>
      <c r="H320" s="221" t="n"/>
      <c r="I320" s="232">
        <f>IF(OR(C320="",G320=""),"",IF(ISNUMBER(SEARCH(TRIM(G320),INDEX('ผู้รับ-ส่ง'!$Q$9:$Q$13,C320))),"✓ มีสิทธิ์รับ","⚠ ไม่อยู่ในรายชื่อ"))</f>
        <v/>
      </c>
      <c r="J320" s="223" t="n"/>
      <c r="K320" s="223" t="n"/>
      <c r="L320" s="233">
        <f>IF(C320="","",IFERROR(INDEX('ผู้รับ-ส่ง'!$O$9:$O$13,C320)&amp;"",""))</f>
        <v/>
      </c>
    </row>
    <row r="321">
      <c r="A321" s="221" t="n"/>
      <c r="B321" s="221" t="n"/>
      <c r="C321" s="221" t="n"/>
      <c r="D321" s="230">
        <f>IF(C321="","",IFERROR(INDEX('ข้อมูลนักเรียน'!$T$9:$T$13,C321),"ไม่พบเลขที่"))</f>
        <v/>
      </c>
      <c r="E321" s="221" t="n"/>
      <c r="F321" s="231" t="n"/>
      <c r="G321" s="223" t="n"/>
      <c r="H321" s="221" t="n"/>
      <c r="I321" s="232">
        <f>IF(OR(C321="",G321=""),"",IF(ISNUMBER(SEARCH(TRIM(G321),INDEX('ผู้รับ-ส่ง'!$Q$9:$Q$13,C321))),"✓ มีสิทธิ์รับ","⚠ ไม่อยู่ในรายชื่อ"))</f>
        <v/>
      </c>
      <c r="J321" s="223" t="n"/>
      <c r="K321" s="223" t="n"/>
      <c r="L321" s="233">
        <f>IF(C321="","",IFERROR(INDEX('ผู้รับ-ส่ง'!$O$9:$O$13,C321)&amp;"",""))</f>
        <v/>
      </c>
    </row>
    <row r="322">
      <c r="A322" s="221" t="n"/>
      <c r="B322" s="221" t="n"/>
      <c r="C322" s="221" t="n"/>
      <c r="D322" s="230">
        <f>IF(C322="","",IFERROR(INDEX('ข้อมูลนักเรียน'!$T$9:$T$13,C322),"ไม่พบเลขที่"))</f>
        <v/>
      </c>
      <c r="E322" s="221" t="n"/>
      <c r="F322" s="231" t="n"/>
      <c r="G322" s="223" t="n"/>
      <c r="H322" s="221" t="n"/>
      <c r="I322" s="232">
        <f>IF(OR(C322="",G322=""),"",IF(ISNUMBER(SEARCH(TRIM(G322),INDEX('ผู้รับ-ส่ง'!$Q$9:$Q$13,C322))),"✓ มีสิทธิ์รับ","⚠ ไม่อยู่ในรายชื่อ"))</f>
        <v/>
      </c>
      <c r="J322" s="223" t="n"/>
      <c r="K322" s="223" t="n"/>
      <c r="L322" s="233">
        <f>IF(C322="","",IFERROR(INDEX('ผู้รับ-ส่ง'!$O$9:$O$13,C322)&amp;"",""))</f>
        <v/>
      </c>
    </row>
    <row r="323">
      <c r="A323" s="221" t="n"/>
      <c r="B323" s="221" t="n"/>
      <c r="C323" s="221" t="n"/>
      <c r="D323" s="230">
        <f>IF(C323="","",IFERROR(INDEX('ข้อมูลนักเรียน'!$T$9:$T$13,C323),"ไม่พบเลขที่"))</f>
        <v/>
      </c>
      <c r="E323" s="221" t="n"/>
      <c r="F323" s="231" t="n"/>
      <c r="G323" s="223" t="n"/>
      <c r="H323" s="221" t="n"/>
      <c r="I323" s="232">
        <f>IF(OR(C323="",G323=""),"",IF(ISNUMBER(SEARCH(TRIM(G323),INDEX('ผู้รับ-ส่ง'!$Q$9:$Q$13,C323))),"✓ มีสิทธิ์รับ","⚠ ไม่อยู่ในรายชื่อ"))</f>
        <v/>
      </c>
      <c r="J323" s="223" t="n"/>
      <c r="K323" s="223" t="n"/>
      <c r="L323" s="233">
        <f>IF(C323="","",IFERROR(INDEX('ผู้รับ-ส่ง'!$O$9:$O$13,C323)&amp;"",""))</f>
        <v/>
      </c>
    </row>
    <row r="324">
      <c r="A324" s="221" t="n"/>
      <c r="B324" s="221" t="n"/>
      <c r="C324" s="221" t="n"/>
      <c r="D324" s="230">
        <f>IF(C324="","",IFERROR(INDEX('ข้อมูลนักเรียน'!$T$9:$T$13,C324),"ไม่พบเลขที่"))</f>
        <v/>
      </c>
      <c r="E324" s="221" t="n"/>
      <c r="F324" s="231" t="n"/>
      <c r="G324" s="223" t="n"/>
      <c r="H324" s="221" t="n"/>
      <c r="I324" s="232">
        <f>IF(OR(C324="",G324=""),"",IF(ISNUMBER(SEARCH(TRIM(G324),INDEX('ผู้รับ-ส่ง'!$Q$9:$Q$13,C324))),"✓ มีสิทธิ์รับ","⚠ ไม่อยู่ในรายชื่อ"))</f>
        <v/>
      </c>
      <c r="J324" s="223" t="n"/>
      <c r="K324" s="223" t="n"/>
      <c r="L324" s="233">
        <f>IF(C324="","",IFERROR(INDEX('ผู้รับ-ส่ง'!$O$9:$O$13,C324)&amp;"",""))</f>
        <v/>
      </c>
    </row>
    <row r="325">
      <c r="A325" s="221" t="n"/>
      <c r="B325" s="221" t="n"/>
      <c r="C325" s="221" t="n"/>
      <c r="D325" s="230">
        <f>IF(C325="","",IFERROR(INDEX('ข้อมูลนักเรียน'!$T$9:$T$13,C325),"ไม่พบเลขที่"))</f>
        <v/>
      </c>
      <c r="E325" s="221" t="n"/>
      <c r="F325" s="231" t="n"/>
      <c r="G325" s="223" t="n"/>
      <c r="H325" s="221" t="n"/>
      <c r="I325" s="232">
        <f>IF(OR(C325="",G325=""),"",IF(ISNUMBER(SEARCH(TRIM(G325),INDEX('ผู้รับ-ส่ง'!$Q$9:$Q$13,C325))),"✓ มีสิทธิ์รับ","⚠ ไม่อยู่ในรายชื่อ"))</f>
        <v/>
      </c>
      <c r="J325" s="223" t="n"/>
      <c r="K325" s="223" t="n"/>
      <c r="L325" s="233">
        <f>IF(C325="","",IFERROR(INDEX('ผู้รับ-ส่ง'!$O$9:$O$13,C325)&amp;"",""))</f>
        <v/>
      </c>
    </row>
    <row r="326">
      <c r="A326" s="221" t="n"/>
      <c r="B326" s="221" t="n"/>
      <c r="C326" s="221" t="n"/>
      <c r="D326" s="230">
        <f>IF(C326="","",IFERROR(INDEX('ข้อมูลนักเรียน'!$T$9:$T$13,C326),"ไม่พบเลขที่"))</f>
        <v/>
      </c>
      <c r="E326" s="221" t="n"/>
      <c r="F326" s="231" t="n"/>
      <c r="G326" s="223" t="n"/>
      <c r="H326" s="221" t="n"/>
      <c r="I326" s="232">
        <f>IF(OR(C326="",G326=""),"",IF(ISNUMBER(SEARCH(TRIM(G326),INDEX('ผู้รับ-ส่ง'!$Q$9:$Q$13,C326))),"✓ มีสิทธิ์รับ","⚠ ไม่อยู่ในรายชื่อ"))</f>
        <v/>
      </c>
      <c r="J326" s="223" t="n"/>
      <c r="K326" s="223" t="n"/>
      <c r="L326" s="233">
        <f>IF(C326="","",IFERROR(INDEX('ผู้รับ-ส่ง'!$O$9:$O$13,C326)&amp;"",""))</f>
        <v/>
      </c>
    </row>
    <row r="327">
      <c r="A327" s="221" t="n"/>
      <c r="B327" s="221" t="n"/>
      <c r="C327" s="221" t="n"/>
      <c r="D327" s="230">
        <f>IF(C327="","",IFERROR(INDEX('ข้อมูลนักเรียน'!$T$9:$T$13,C327),"ไม่พบเลขที่"))</f>
        <v/>
      </c>
      <c r="E327" s="221" t="n"/>
      <c r="F327" s="231" t="n"/>
      <c r="G327" s="223" t="n"/>
      <c r="H327" s="221" t="n"/>
      <c r="I327" s="232">
        <f>IF(OR(C327="",G327=""),"",IF(ISNUMBER(SEARCH(TRIM(G327),INDEX('ผู้รับ-ส่ง'!$Q$9:$Q$13,C327))),"✓ มีสิทธิ์รับ","⚠ ไม่อยู่ในรายชื่อ"))</f>
        <v/>
      </c>
      <c r="J327" s="223" t="n"/>
      <c r="K327" s="223" t="n"/>
      <c r="L327" s="233">
        <f>IF(C327="","",IFERROR(INDEX('ผู้รับ-ส่ง'!$O$9:$O$13,C327)&amp;"",""))</f>
        <v/>
      </c>
    </row>
    <row r="328">
      <c r="A328" s="221" t="n"/>
      <c r="B328" s="221" t="n"/>
      <c r="C328" s="221" t="n"/>
      <c r="D328" s="230">
        <f>IF(C328="","",IFERROR(INDEX('ข้อมูลนักเรียน'!$T$9:$T$13,C328),"ไม่พบเลขที่"))</f>
        <v/>
      </c>
      <c r="E328" s="221" t="n"/>
      <c r="F328" s="231" t="n"/>
      <c r="G328" s="223" t="n"/>
      <c r="H328" s="221" t="n"/>
      <c r="I328" s="232">
        <f>IF(OR(C328="",G328=""),"",IF(ISNUMBER(SEARCH(TRIM(G328),INDEX('ผู้รับ-ส่ง'!$Q$9:$Q$13,C328))),"✓ มีสิทธิ์รับ","⚠ ไม่อยู่ในรายชื่อ"))</f>
        <v/>
      </c>
      <c r="J328" s="223" t="n"/>
      <c r="K328" s="223" t="n"/>
      <c r="L328" s="233">
        <f>IF(C328="","",IFERROR(INDEX('ผู้รับ-ส่ง'!$O$9:$O$13,C328)&amp;"",""))</f>
        <v/>
      </c>
    </row>
    <row r="329">
      <c r="A329" s="221" t="n"/>
      <c r="B329" s="221" t="n"/>
      <c r="C329" s="221" t="n"/>
      <c r="D329" s="230">
        <f>IF(C329="","",IFERROR(INDEX('ข้อมูลนักเรียน'!$T$9:$T$13,C329),"ไม่พบเลขที่"))</f>
        <v/>
      </c>
      <c r="E329" s="221" t="n"/>
      <c r="F329" s="231" t="n"/>
      <c r="G329" s="223" t="n"/>
      <c r="H329" s="221" t="n"/>
      <c r="I329" s="232">
        <f>IF(OR(C329="",G329=""),"",IF(ISNUMBER(SEARCH(TRIM(G329),INDEX('ผู้รับ-ส่ง'!$Q$9:$Q$13,C329))),"✓ มีสิทธิ์รับ","⚠ ไม่อยู่ในรายชื่อ"))</f>
        <v/>
      </c>
      <c r="J329" s="223" t="n"/>
      <c r="K329" s="223" t="n"/>
      <c r="L329" s="233">
        <f>IF(C329="","",IFERROR(INDEX('ผู้รับ-ส่ง'!$O$9:$O$13,C329)&amp;"",""))</f>
        <v/>
      </c>
    </row>
    <row r="330">
      <c r="A330" s="221" t="n"/>
      <c r="B330" s="221" t="n"/>
      <c r="C330" s="221" t="n"/>
      <c r="D330" s="230">
        <f>IF(C330="","",IFERROR(INDEX('ข้อมูลนักเรียน'!$T$9:$T$13,C330),"ไม่พบเลขที่"))</f>
        <v/>
      </c>
      <c r="E330" s="221" t="n"/>
      <c r="F330" s="231" t="n"/>
      <c r="G330" s="223" t="n"/>
      <c r="H330" s="221" t="n"/>
      <c r="I330" s="232">
        <f>IF(OR(C330="",G330=""),"",IF(ISNUMBER(SEARCH(TRIM(G330),INDEX('ผู้รับ-ส่ง'!$Q$9:$Q$13,C330))),"✓ มีสิทธิ์รับ","⚠ ไม่อยู่ในรายชื่อ"))</f>
        <v/>
      </c>
      <c r="J330" s="223" t="n"/>
      <c r="K330" s="223" t="n"/>
      <c r="L330" s="233">
        <f>IF(C330="","",IFERROR(INDEX('ผู้รับ-ส่ง'!$O$9:$O$13,C330)&amp;"",""))</f>
        <v/>
      </c>
    </row>
    <row r="331">
      <c r="A331" s="221" t="n"/>
      <c r="B331" s="221" t="n"/>
      <c r="C331" s="221" t="n"/>
      <c r="D331" s="230">
        <f>IF(C331="","",IFERROR(INDEX('ข้อมูลนักเรียน'!$T$9:$T$13,C331),"ไม่พบเลขที่"))</f>
        <v/>
      </c>
      <c r="E331" s="221" t="n"/>
      <c r="F331" s="231" t="n"/>
      <c r="G331" s="223" t="n"/>
      <c r="H331" s="221" t="n"/>
      <c r="I331" s="232">
        <f>IF(OR(C331="",G331=""),"",IF(ISNUMBER(SEARCH(TRIM(G331),INDEX('ผู้รับ-ส่ง'!$Q$9:$Q$13,C331))),"✓ มีสิทธิ์รับ","⚠ ไม่อยู่ในรายชื่อ"))</f>
        <v/>
      </c>
      <c r="J331" s="223" t="n"/>
      <c r="K331" s="223" t="n"/>
      <c r="L331" s="233">
        <f>IF(C331="","",IFERROR(INDEX('ผู้รับ-ส่ง'!$O$9:$O$13,C331)&amp;"",""))</f>
        <v/>
      </c>
    </row>
    <row r="332">
      <c r="A332" s="221" t="n"/>
      <c r="B332" s="221" t="n"/>
      <c r="C332" s="221" t="n"/>
      <c r="D332" s="230">
        <f>IF(C332="","",IFERROR(INDEX('ข้อมูลนักเรียน'!$T$9:$T$13,C332),"ไม่พบเลขที่"))</f>
        <v/>
      </c>
      <c r="E332" s="221" t="n"/>
      <c r="F332" s="231" t="n"/>
      <c r="G332" s="223" t="n"/>
      <c r="H332" s="221" t="n"/>
      <c r="I332" s="232">
        <f>IF(OR(C332="",G332=""),"",IF(ISNUMBER(SEARCH(TRIM(G332),INDEX('ผู้รับ-ส่ง'!$Q$9:$Q$13,C332))),"✓ มีสิทธิ์รับ","⚠ ไม่อยู่ในรายชื่อ"))</f>
        <v/>
      </c>
      <c r="J332" s="223" t="n"/>
      <c r="K332" s="223" t="n"/>
      <c r="L332" s="233">
        <f>IF(C332="","",IFERROR(INDEX('ผู้รับ-ส่ง'!$O$9:$O$13,C332)&amp;"",""))</f>
        <v/>
      </c>
    </row>
    <row r="333">
      <c r="A333" s="221" t="n"/>
      <c r="B333" s="221" t="n"/>
      <c r="C333" s="221" t="n"/>
      <c r="D333" s="230">
        <f>IF(C333="","",IFERROR(INDEX('ข้อมูลนักเรียน'!$T$9:$T$13,C333),"ไม่พบเลขที่"))</f>
        <v/>
      </c>
      <c r="E333" s="221" t="n"/>
      <c r="F333" s="231" t="n"/>
      <c r="G333" s="223" t="n"/>
      <c r="H333" s="221" t="n"/>
      <c r="I333" s="232">
        <f>IF(OR(C333="",G333=""),"",IF(ISNUMBER(SEARCH(TRIM(G333),INDEX('ผู้รับ-ส่ง'!$Q$9:$Q$13,C333))),"✓ มีสิทธิ์รับ","⚠ ไม่อยู่ในรายชื่อ"))</f>
        <v/>
      </c>
      <c r="J333" s="223" t="n"/>
      <c r="K333" s="223" t="n"/>
      <c r="L333" s="233">
        <f>IF(C333="","",IFERROR(INDEX('ผู้รับ-ส่ง'!$O$9:$O$13,C333)&amp;"",""))</f>
        <v/>
      </c>
    </row>
    <row r="334">
      <c r="A334" s="221" t="n"/>
      <c r="B334" s="221" t="n"/>
      <c r="C334" s="221" t="n"/>
      <c r="D334" s="230">
        <f>IF(C334="","",IFERROR(INDEX('ข้อมูลนักเรียน'!$T$9:$T$13,C334),"ไม่พบเลขที่"))</f>
        <v/>
      </c>
      <c r="E334" s="221" t="n"/>
      <c r="F334" s="231" t="n"/>
      <c r="G334" s="223" t="n"/>
      <c r="H334" s="221" t="n"/>
      <c r="I334" s="232">
        <f>IF(OR(C334="",G334=""),"",IF(ISNUMBER(SEARCH(TRIM(G334),INDEX('ผู้รับ-ส่ง'!$Q$9:$Q$13,C334))),"✓ มีสิทธิ์รับ","⚠ ไม่อยู่ในรายชื่อ"))</f>
        <v/>
      </c>
      <c r="J334" s="223" t="n"/>
      <c r="K334" s="223" t="n"/>
      <c r="L334" s="233">
        <f>IF(C334="","",IFERROR(INDEX('ผู้รับ-ส่ง'!$O$9:$O$13,C334)&amp;"",""))</f>
        <v/>
      </c>
    </row>
    <row r="335">
      <c r="A335" s="221" t="n"/>
      <c r="B335" s="221" t="n"/>
      <c r="C335" s="221" t="n"/>
      <c r="D335" s="230">
        <f>IF(C335="","",IFERROR(INDEX('ข้อมูลนักเรียน'!$T$9:$T$13,C335),"ไม่พบเลขที่"))</f>
        <v/>
      </c>
      <c r="E335" s="221" t="n"/>
      <c r="F335" s="231" t="n"/>
      <c r="G335" s="223" t="n"/>
      <c r="H335" s="221" t="n"/>
      <c r="I335" s="232">
        <f>IF(OR(C335="",G335=""),"",IF(ISNUMBER(SEARCH(TRIM(G335),INDEX('ผู้รับ-ส่ง'!$Q$9:$Q$13,C335))),"✓ มีสิทธิ์รับ","⚠ ไม่อยู่ในรายชื่อ"))</f>
        <v/>
      </c>
      <c r="J335" s="223" t="n"/>
      <c r="K335" s="223" t="n"/>
      <c r="L335" s="233">
        <f>IF(C335="","",IFERROR(INDEX('ผู้รับ-ส่ง'!$O$9:$O$13,C335)&amp;"",""))</f>
        <v/>
      </c>
    </row>
    <row r="336">
      <c r="A336" s="221" t="n"/>
      <c r="B336" s="221" t="n"/>
      <c r="C336" s="221" t="n"/>
      <c r="D336" s="230">
        <f>IF(C336="","",IFERROR(INDEX('ข้อมูลนักเรียน'!$T$9:$T$13,C336),"ไม่พบเลขที่"))</f>
        <v/>
      </c>
      <c r="E336" s="221" t="n"/>
      <c r="F336" s="231" t="n"/>
      <c r="G336" s="223" t="n"/>
      <c r="H336" s="221" t="n"/>
      <c r="I336" s="232">
        <f>IF(OR(C336="",G336=""),"",IF(ISNUMBER(SEARCH(TRIM(G336),INDEX('ผู้รับ-ส่ง'!$Q$9:$Q$13,C336))),"✓ มีสิทธิ์รับ","⚠ ไม่อยู่ในรายชื่อ"))</f>
        <v/>
      </c>
      <c r="J336" s="223" t="n"/>
      <c r="K336" s="223" t="n"/>
      <c r="L336" s="233">
        <f>IF(C336="","",IFERROR(INDEX('ผู้รับ-ส่ง'!$O$9:$O$13,C336)&amp;"",""))</f>
        <v/>
      </c>
    </row>
    <row r="337">
      <c r="A337" s="221" t="n"/>
      <c r="B337" s="221" t="n"/>
      <c r="C337" s="221" t="n"/>
      <c r="D337" s="230">
        <f>IF(C337="","",IFERROR(INDEX('ข้อมูลนักเรียน'!$T$9:$T$13,C337),"ไม่พบเลขที่"))</f>
        <v/>
      </c>
      <c r="E337" s="221" t="n"/>
      <c r="F337" s="231" t="n"/>
      <c r="G337" s="223" t="n"/>
      <c r="H337" s="221" t="n"/>
      <c r="I337" s="232">
        <f>IF(OR(C337="",G337=""),"",IF(ISNUMBER(SEARCH(TRIM(G337),INDEX('ผู้รับ-ส่ง'!$Q$9:$Q$13,C337))),"✓ มีสิทธิ์รับ","⚠ ไม่อยู่ในรายชื่อ"))</f>
        <v/>
      </c>
      <c r="J337" s="223" t="n"/>
      <c r="K337" s="223" t="n"/>
      <c r="L337" s="233">
        <f>IF(C337="","",IFERROR(INDEX('ผู้รับ-ส่ง'!$O$9:$O$13,C337)&amp;"",""))</f>
        <v/>
      </c>
    </row>
    <row r="338">
      <c r="A338" s="221" t="n"/>
      <c r="B338" s="221" t="n"/>
      <c r="C338" s="221" t="n"/>
      <c r="D338" s="230">
        <f>IF(C338="","",IFERROR(INDEX('ข้อมูลนักเรียน'!$T$9:$T$13,C338),"ไม่พบเลขที่"))</f>
        <v/>
      </c>
      <c r="E338" s="221" t="n"/>
      <c r="F338" s="231" t="n"/>
      <c r="G338" s="223" t="n"/>
      <c r="H338" s="221" t="n"/>
      <c r="I338" s="232">
        <f>IF(OR(C338="",G338=""),"",IF(ISNUMBER(SEARCH(TRIM(G338),INDEX('ผู้รับ-ส่ง'!$Q$9:$Q$13,C338))),"✓ มีสิทธิ์รับ","⚠ ไม่อยู่ในรายชื่อ"))</f>
        <v/>
      </c>
      <c r="J338" s="223" t="n"/>
      <c r="K338" s="223" t="n"/>
      <c r="L338" s="233">
        <f>IF(C338="","",IFERROR(INDEX('ผู้รับ-ส่ง'!$O$9:$O$13,C338)&amp;"",""))</f>
        <v/>
      </c>
    </row>
    <row r="339">
      <c r="A339" s="221" t="n"/>
      <c r="B339" s="221" t="n"/>
      <c r="C339" s="221" t="n"/>
      <c r="D339" s="230">
        <f>IF(C339="","",IFERROR(INDEX('ข้อมูลนักเรียน'!$T$9:$T$13,C339),"ไม่พบเลขที่"))</f>
        <v/>
      </c>
      <c r="E339" s="221" t="n"/>
      <c r="F339" s="231" t="n"/>
      <c r="G339" s="223" t="n"/>
      <c r="H339" s="221" t="n"/>
      <c r="I339" s="232">
        <f>IF(OR(C339="",G339=""),"",IF(ISNUMBER(SEARCH(TRIM(G339),INDEX('ผู้รับ-ส่ง'!$Q$9:$Q$13,C339))),"✓ มีสิทธิ์รับ","⚠ ไม่อยู่ในรายชื่อ"))</f>
        <v/>
      </c>
      <c r="J339" s="223" t="n"/>
      <c r="K339" s="223" t="n"/>
      <c r="L339" s="233">
        <f>IF(C339="","",IFERROR(INDEX('ผู้รับ-ส่ง'!$O$9:$O$13,C339)&amp;"",""))</f>
        <v/>
      </c>
    </row>
    <row r="340">
      <c r="A340" s="221" t="n"/>
      <c r="B340" s="221" t="n"/>
      <c r="C340" s="221" t="n"/>
      <c r="D340" s="230">
        <f>IF(C340="","",IFERROR(INDEX('ข้อมูลนักเรียน'!$T$9:$T$13,C340),"ไม่พบเลขที่"))</f>
        <v/>
      </c>
      <c r="E340" s="221" t="n"/>
      <c r="F340" s="231" t="n"/>
      <c r="G340" s="223" t="n"/>
      <c r="H340" s="221" t="n"/>
      <c r="I340" s="232">
        <f>IF(OR(C340="",G340=""),"",IF(ISNUMBER(SEARCH(TRIM(G340),INDEX('ผู้รับ-ส่ง'!$Q$9:$Q$13,C340))),"✓ มีสิทธิ์รับ","⚠ ไม่อยู่ในรายชื่อ"))</f>
        <v/>
      </c>
      <c r="J340" s="223" t="n"/>
      <c r="K340" s="223" t="n"/>
      <c r="L340" s="233">
        <f>IF(C340="","",IFERROR(INDEX('ผู้รับ-ส่ง'!$O$9:$O$13,C340)&amp;"",""))</f>
        <v/>
      </c>
    </row>
    <row r="341">
      <c r="A341" s="221" t="n"/>
      <c r="B341" s="221" t="n"/>
      <c r="C341" s="221" t="n"/>
      <c r="D341" s="230">
        <f>IF(C341="","",IFERROR(INDEX('ข้อมูลนักเรียน'!$T$9:$T$13,C341),"ไม่พบเลขที่"))</f>
        <v/>
      </c>
      <c r="E341" s="221" t="n"/>
      <c r="F341" s="231" t="n"/>
      <c r="G341" s="223" t="n"/>
      <c r="H341" s="221" t="n"/>
      <c r="I341" s="232">
        <f>IF(OR(C341="",G341=""),"",IF(ISNUMBER(SEARCH(TRIM(G341),INDEX('ผู้รับ-ส่ง'!$Q$9:$Q$13,C341))),"✓ มีสิทธิ์รับ","⚠ ไม่อยู่ในรายชื่อ"))</f>
        <v/>
      </c>
      <c r="J341" s="223" t="n"/>
      <c r="K341" s="223" t="n"/>
      <c r="L341" s="233">
        <f>IF(C341="","",IFERROR(INDEX('ผู้รับ-ส่ง'!$O$9:$O$13,C341)&amp;"",""))</f>
        <v/>
      </c>
    </row>
    <row r="342">
      <c r="A342" s="221" t="n"/>
      <c r="B342" s="221" t="n"/>
      <c r="C342" s="221" t="n"/>
      <c r="D342" s="230">
        <f>IF(C342="","",IFERROR(INDEX('ข้อมูลนักเรียน'!$T$9:$T$13,C342),"ไม่พบเลขที่"))</f>
        <v/>
      </c>
      <c r="E342" s="221" t="n"/>
      <c r="F342" s="231" t="n"/>
      <c r="G342" s="223" t="n"/>
      <c r="H342" s="221" t="n"/>
      <c r="I342" s="232">
        <f>IF(OR(C342="",G342=""),"",IF(ISNUMBER(SEARCH(TRIM(G342),INDEX('ผู้รับ-ส่ง'!$Q$9:$Q$13,C342))),"✓ มีสิทธิ์รับ","⚠ ไม่อยู่ในรายชื่อ"))</f>
        <v/>
      </c>
      <c r="J342" s="223" t="n"/>
      <c r="K342" s="223" t="n"/>
      <c r="L342" s="233">
        <f>IF(C342="","",IFERROR(INDEX('ผู้รับ-ส่ง'!$O$9:$O$13,C342)&amp;"",""))</f>
        <v/>
      </c>
    </row>
    <row r="343">
      <c r="A343" s="221" t="n"/>
      <c r="B343" s="221" t="n"/>
      <c r="C343" s="221" t="n"/>
      <c r="D343" s="230">
        <f>IF(C343="","",IFERROR(INDEX('ข้อมูลนักเรียน'!$T$9:$T$13,C343),"ไม่พบเลขที่"))</f>
        <v/>
      </c>
      <c r="E343" s="221" t="n"/>
      <c r="F343" s="231" t="n"/>
      <c r="G343" s="223" t="n"/>
      <c r="H343" s="221" t="n"/>
      <c r="I343" s="232">
        <f>IF(OR(C343="",G343=""),"",IF(ISNUMBER(SEARCH(TRIM(G343),INDEX('ผู้รับ-ส่ง'!$Q$9:$Q$13,C343))),"✓ มีสิทธิ์รับ","⚠ ไม่อยู่ในรายชื่อ"))</f>
        <v/>
      </c>
      <c r="J343" s="223" t="n"/>
      <c r="K343" s="223" t="n"/>
      <c r="L343" s="233">
        <f>IF(C343="","",IFERROR(INDEX('ผู้รับ-ส่ง'!$O$9:$O$13,C343)&amp;"",""))</f>
        <v/>
      </c>
    </row>
    <row r="344">
      <c r="A344" s="221" t="n"/>
      <c r="B344" s="221" t="n"/>
      <c r="C344" s="221" t="n"/>
      <c r="D344" s="230">
        <f>IF(C344="","",IFERROR(INDEX('ข้อมูลนักเรียน'!$T$9:$T$13,C344),"ไม่พบเลขที่"))</f>
        <v/>
      </c>
      <c r="E344" s="221" t="n"/>
      <c r="F344" s="231" t="n"/>
      <c r="G344" s="223" t="n"/>
      <c r="H344" s="221" t="n"/>
      <c r="I344" s="232">
        <f>IF(OR(C344="",G344=""),"",IF(ISNUMBER(SEARCH(TRIM(G344),INDEX('ผู้รับ-ส่ง'!$Q$9:$Q$13,C344))),"✓ มีสิทธิ์รับ","⚠ ไม่อยู่ในรายชื่อ"))</f>
        <v/>
      </c>
      <c r="J344" s="223" t="n"/>
      <c r="K344" s="223" t="n"/>
      <c r="L344" s="233">
        <f>IF(C344="","",IFERROR(INDEX('ผู้รับ-ส่ง'!$O$9:$O$13,C344)&amp;"",""))</f>
        <v/>
      </c>
    </row>
    <row r="345">
      <c r="A345" s="221" t="n"/>
      <c r="B345" s="221" t="n"/>
      <c r="C345" s="221" t="n"/>
      <c r="D345" s="230">
        <f>IF(C345="","",IFERROR(INDEX('ข้อมูลนักเรียน'!$T$9:$T$13,C345),"ไม่พบเลขที่"))</f>
        <v/>
      </c>
      <c r="E345" s="221" t="n"/>
      <c r="F345" s="231" t="n"/>
      <c r="G345" s="223" t="n"/>
      <c r="H345" s="221" t="n"/>
      <c r="I345" s="232">
        <f>IF(OR(C345="",G345=""),"",IF(ISNUMBER(SEARCH(TRIM(G345),INDEX('ผู้รับ-ส่ง'!$Q$9:$Q$13,C345))),"✓ มีสิทธิ์รับ","⚠ ไม่อยู่ในรายชื่อ"))</f>
        <v/>
      </c>
      <c r="J345" s="223" t="n"/>
      <c r="K345" s="223" t="n"/>
      <c r="L345" s="233">
        <f>IF(C345="","",IFERROR(INDEX('ผู้รับ-ส่ง'!$O$9:$O$13,C345)&amp;"",""))</f>
        <v/>
      </c>
    </row>
    <row r="346">
      <c r="A346" s="221" t="n"/>
      <c r="B346" s="221" t="n"/>
      <c r="C346" s="221" t="n"/>
      <c r="D346" s="230">
        <f>IF(C346="","",IFERROR(INDEX('ข้อมูลนักเรียน'!$T$9:$T$13,C346),"ไม่พบเลขที่"))</f>
        <v/>
      </c>
      <c r="E346" s="221" t="n"/>
      <c r="F346" s="231" t="n"/>
      <c r="G346" s="223" t="n"/>
      <c r="H346" s="221" t="n"/>
      <c r="I346" s="232">
        <f>IF(OR(C346="",G346=""),"",IF(ISNUMBER(SEARCH(TRIM(G346),INDEX('ผู้รับ-ส่ง'!$Q$9:$Q$13,C346))),"✓ มีสิทธิ์รับ","⚠ ไม่อยู่ในรายชื่อ"))</f>
        <v/>
      </c>
      <c r="J346" s="223" t="n"/>
      <c r="K346" s="223" t="n"/>
      <c r="L346" s="233">
        <f>IF(C346="","",IFERROR(INDEX('ผู้รับ-ส่ง'!$O$9:$O$13,C346)&amp;"",""))</f>
        <v/>
      </c>
    </row>
    <row r="347">
      <c r="A347" s="221" t="n"/>
      <c r="B347" s="221" t="n"/>
      <c r="C347" s="221" t="n"/>
      <c r="D347" s="230">
        <f>IF(C347="","",IFERROR(INDEX('ข้อมูลนักเรียน'!$T$9:$T$13,C347),"ไม่พบเลขที่"))</f>
        <v/>
      </c>
      <c r="E347" s="221" t="n"/>
      <c r="F347" s="231" t="n"/>
      <c r="G347" s="223" t="n"/>
      <c r="H347" s="221" t="n"/>
      <c r="I347" s="232">
        <f>IF(OR(C347="",G347=""),"",IF(ISNUMBER(SEARCH(TRIM(G347),INDEX('ผู้รับ-ส่ง'!$Q$9:$Q$13,C347))),"✓ มีสิทธิ์รับ","⚠ ไม่อยู่ในรายชื่อ"))</f>
        <v/>
      </c>
      <c r="J347" s="223" t="n"/>
      <c r="K347" s="223" t="n"/>
      <c r="L347" s="233">
        <f>IF(C347="","",IFERROR(INDEX('ผู้รับ-ส่ง'!$O$9:$O$13,C347)&amp;"",""))</f>
        <v/>
      </c>
    </row>
    <row r="348">
      <c r="A348" s="221" t="n"/>
      <c r="B348" s="221" t="n"/>
      <c r="C348" s="221" t="n"/>
      <c r="D348" s="230">
        <f>IF(C348="","",IFERROR(INDEX('ข้อมูลนักเรียน'!$T$9:$T$13,C348),"ไม่พบเลขที่"))</f>
        <v/>
      </c>
      <c r="E348" s="221" t="n"/>
      <c r="F348" s="231" t="n"/>
      <c r="G348" s="223" t="n"/>
      <c r="H348" s="221" t="n"/>
      <c r="I348" s="232">
        <f>IF(OR(C348="",G348=""),"",IF(ISNUMBER(SEARCH(TRIM(G348),INDEX('ผู้รับ-ส่ง'!$Q$9:$Q$13,C348))),"✓ มีสิทธิ์รับ","⚠ ไม่อยู่ในรายชื่อ"))</f>
        <v/>
      </c>
      <c r="J348" s="223" t="n"/>
      <c r="K348" s="223" t="n"/>
      <c r="L348" s="233">
        <f>IF(C348="","",IFERROR(INDEX('ผู้รับ-ส่ง'!$O$9:$O$13,C348)&amp;"",""))</f>
        <v/>
      </c>
    </row>
    <row r="349">
      <c r="A349" s="221" t="n"/>
      <c r="B349" s="221" t="n"/>
      <c r="C349" s="221" t="n"/>
      <c r="D349" s="230">
        <f>IF(C349="","",IFERROR(INDEX('ข้อมูลนักเรียน'!$T$9:$T$13,C349),"ไม่พบเลขที่"))</f>
        <v/>
      </c>
      <c r="E349" s="221" t="n"/>
      <c r="F349" s="231" t="n"/>
      <c r="G349" s="223" t="n"/>
      <c r="H349" s="221" t="n"/>
      <c r="I349" s="232">
        <f>IF(OR(C349="",G349=""),"",IF(ISNUMBER(SEARCH(TRIM(G349),INDEX('ผู้รับ-ส่ง'!$Q$9:$Q$13,C349))),"✓ มีสิทธิ์รับ","⚠ ไม่อยู่ในรายชื่อ"))</f>
        <v/>
      </c>
      <c r="J349" s="223" t="n"/>
      <c r="K349" s="223" t="n"/>
      <c r="L349" s="233">
        <f>IF(C349="","",IFERROR(INDEX('ผู้รับ-ส่ง'!$O$9:$O$13,C349)&amp;"",""))</f>
        <v/>
      </c>
    </row>
    <row r="350">
      <c r="A350" s="221" t="n"/>
      <c r="B350" s="221" t="n"/>
      <c r="C350" s="221" t="n"/>
      <c r="D350" s="230">
        <f>IF(C350="","",IFERROR(INDEX('ข้อมูลนักเรียน'!$T$9:$T$13,C350),"ไม่พบเลขที่"))</f>
        <v/>
      </c>
      <c r="E350" s="221" t="n"/>
      <c r="F350" s="231" t="n"/>
      <c r="G350" s="223" t="n"/>
      <c r="H350" s="221" t="n"/>
      <c r="I350" s="232">
        <f>IF(OR(C350="",G350=""),"",IF(ISNUMBER(SEARCH(TRIM(G350),INDEX('ผู้รับ-ส่ง'!$Q$9:$Q$13,C350))),"✓ มีสิทธิ์รับ","⚠ ไม่อยู่ในรายชื่อ"))</f>
        <v/>
      </c>
      <c r="J350" s="223" t="n"/>
      <c r="K350" s="223" t="n"/>
      <c r="L350" s="233">
        <f>IF(C350="","",IFERROR(INDEX('ผู้รับ-ส่ง'!$O$9:$O$13,C350)&amp;"",""))</f>
        <v/>
      </c>
    </row>
    <row r="351">
      <c r="A351" s="221" t="n"/>
      <c r="B351" s="221" t="n"/>
      <c r="C351" s="221" t="n"/>
      <c r="D351" s="230">
        <f>IF(C351="","",IFERROR(INDEX('ข้อมูลนักเรียน'!$T$9:$T$13,C351),"ไม่พบเลขที่"))</f>
        <v/>
      </c>
      <c r="E351" s="221" t="n"/>
      <c r="F351" s="231" t="n"/>
      <c r="G351" s="223" t="n"/>
      <c r="H351" s="221" t="n"/>
      <c r="I351" s="232">
        <f>IF(OR(C351="",G351=""),"",IF(ISNUMBER(SEARCH(TRIM(G351),INDEX('ผู้รับ-ส่ง'!$Q$9:$Q$13,C351))),"✓ มีสิทธิ์รับ","⚠ ไม่อยู่ในรายชื่อ"))</f>
        <v/>
      </c>
      <c r="J351" s="223" t="n"/>
      <c r="K351" s="223" t="n"/>
      <c r="L351" s="233">
        <f>IF(C351="","",IFERROR(INDEX('ผู้รับ-ส่ง'!$O$9:$O$13,C351)&amp;"",""))</f>
        <v/>
      </c>
    </row>
    <row r="352">
      <c r="A352" s="221" t="n"/>
      <c r="B352" s="221" t="n"/>
      <c r="C352" s="221" t="n"/>
      <c r="D352" s="230">
        <f>IF(C352="","",IFERROR(INDEX('ข้อมูลนักเรียน'!$T$9:$T$13,C352),"ไม่พบเลขที่"))</f>
        <v/>
      </c>
      <c r="E352" s="221" t="n"/>
      <c r="F352" s="231" t="n"/>
      <c r="G352" s="223" t="n"/>
      <c r="H352" s="221" t="n"/>
      <c r="I352" s="232">
        <f>IF(OR(C352="",G352=""),"",IF(ISNUMBER(SEARCH(TRIM(G352),INDEX('ผู้รับ-ส่ง'!$Q$9:$Q$13,C352))),"✓ มีสิทธิ์รับ","⚠ ไม่อยู่ในรายชื่อ"))</f>
        <v/>
      </c>
      <c r="J352" s="223" t="n"/>
      <c r="K352" s="223" t="n"/>
      <c r="L352" s="233">
        <f>IF(C352="","",IFERROR(INDEX('ผู้รับ-ส่ง'!$O$9:$O$13,C352)&amp;"",""))</f>
        <v/>
      </c>
    </row>
    <row r="353">
      <c r="A353" s="221" t="n"/>
      <c r="B353" s="221" t="n"/>
      <c r="C353" s="221" t="n"/>
      <c r="D353" s="230">
        <f>IF(C353="","",IFERROR(INDEX('ข้อมูลนักเรียน'!$T$9:$T$13,C353),"ไม่พบเลขที่"))</f>
        <v/>
      </c>
      <c r="E353" s="221" t="n"/>
      <c r="F353" s="231" t="n"/>
      <c r="G353" s="223" t="n"/>
      <c r="H353" s="221" t="n"/>
      <c r="I353" s="232">
        <f>IF(OR(C353="",G353=""),"",IF(ISNUMBER(SEARCH(TRIM(G353),INDEX('ผู้รับ-ส่ง'!$Q$9:$Q$13,C353))),"✓ มีสิทธิ์รับ","⚠ ไม่อยู่ในรายชื่อ"))</f>
        <v/>
      </c>
      <c r="J353" s="223" t="n"/>
      <c r="K353" s="223" t="n"/>
      <c r="L353" s="233">
        <f>IF(C353="","",IFERROR(INDEX('ผู้รับ-ส่ง'!$O$9:$O$13,C353)&amp;"",""))</f>
        <v/>
      </c>
    </row>
    <row r="354">
      <c r="A354" s="221" t="n"/>
      <c r="B354" s="221" t="n"/>
      <c r="C354" s="221" t="n"/>
      <c r="D354" s="230">
        <f>IF(C354="","",IFERROR(INDEX('ข้อมูลนักเรียน'!$T$9:$T$13,C354),"ไม่พบเลขที่"))</f>
        <v/>
      </c>
      <c r="E354" s="221" t="n"/>
      <c r="F354" s="231" t="n"/>
      <c r="G354" s="223" t="n"/>
      <c r="H354" s="221" t="n"/>
      <c r="I354" s="232">
        <f>IF(OR(C354="",G354=""),"",IF(ISNUMBER(SEARCH(TRIM(G354),INDEX('ผู้รับ-ส่ง'!$Q$9:$Q$13,C354))),"✓ มีสิทธิ์รับ","⚠ ไม่อยู่ในรายชื่อ"))</f>
        <v/>
      </c>
      <c r="J354" s="223" t="n"/>
      <c r="K354" s="223" t="n"/>
      <c r="L354" s="233">
        <f>IF(C354="","",IFERROR(INDEX('ผู้รับ-ส่ง'!$O$9:$O$13,C354)&amp;"",""))</f>
        <v/>
      </c>
    </row>
    <row r="355">
      <c r="A355" s="221" t="n"/>
      <c r="B355" s="221" t="n"/>
      <c r="C355" s="221" t="n"/>
      <c r="D355" s="230">
        <f>IF(C355="","",IFERROR(INDEX('ข้อมูลนักเรียน'!$T$9:$T$13,C355),"ไม่พบเลขที่"))</f>
        <v/>
      </c>
      <c r="E355" s="221" t="n"/>
      <c r="F355" s="231" t="n"/>
      <c r="G355" s="223" t="n"/>
      <c r="H355" s="221" t="n"/>
      <c r="I355" s="232">
        <f>IF(OR(C355="",G355=""),"",IF(ISNUMBER(SEARCH(TRIM(G355),INDEX('ผู้รับ-ส่ง'!$Q$9:$Q$13,C355))),"✓ มีสิทธิ์รับ","⚠ ไม่อยู่ในรายชื่อ"))</f>
        <v/>
      </c>
      <c r="J355" s="223" t="n"/>
      <c r="K355" s="223" t="n"/>
      <c r="L355" s="233">
        <f>IF(C355="","",IFERROR(INDEX('ผู้รับ-ส่ง'!$O$9:$O$13,C355)&amp;"",""))</f>
        <v/>
      </c>
    </row>
    <row r="356">
      <c r="A356" s="221" t="n"/>
      <c r="B356" s="221" t="n"/>
      <c r="C356" s="221" t="n"/>
      <c r="D356" s="230">
        <f>IF(C356="","",IFERROR(INDEX('ข้อมูลนักเรียน'!$T$9:$T$13,C356),"ไม่พบเลขที่"))</f>
        <v/>
      </c>
      <c r="E356" s="221" t="n"/>
      <c r="F356" s="231" t="n"/>
      <c r="G356" s="223" t="n"/>
      <c r="H356" s="221" t="n"/>
      <c r="I356" s="232">
        <f>IF(OR(C356="",G356=""),"",IF(ISNUMBER(SEARCH(TRIM(G356),INDEX('ผู้รับ-ส่ง'!$Q$9:$Q$13,C356))),"✓ มีสิทธิ์รับ","⚠ ไม่อยู่ในรายชื่อ"))</f>
        <v/>
      </c>
      <c r="J356" s="223" t="n"/>
      <c r="K356" s="223" t="n"/>
      <c r="L356" s="233">
        <f>IF(C356="","",IFERROR(INDEX('ผู้รับ-ส่ง'!$O$9:$O$13,C356)&amp;"",""))</f>
        <v/>
      </c>
    </row>
    <row r="357">
      <c r="A357" s="221" t="n"/>
      <c r="B357" s="221" t="n"/>
      <c r="C357" s="221" t="n"/>
      <c r="D357" s="230">
        <f>IF(C357="","",IFERROR(INDEX('ข้อมูลนักเรียน'!$T$9:$T$13,C357),"ไม่พบเลขที่"))</f>
        <v/>
      </c>
      <c r="E357" s="221" t="n"/>
      <c r="F357" s="231" t="n"/>
      <c r="G357" s="223" t="n"/>
      <c r="H357" s="221" t="n"/>
      <c r="I357" s="232">
        <f>IF(OR(C357="",G357=""),"",IF(ISNUMBER(SEARCH(TRIM(G357),INDEX('ผู้รับ-ส่ง'!$Q$9:$Q$13,C357))),"✓ มีสิทธิ์รับ","⚠ ไม่อยู่ในรายชื่อ"))</f>
        <v/>
      </c>
      <c r="J357" s="223" t="n"/>
      <c r="K357" s="223" t="n"/>
      <c r="L357" s="233">
        <f>IF(C357="","",IFERROR(INDEX('ผู้รับ-ส่ง'!$O$9:$O$13,C357)&amp;"",""))</f>
        <v/>
      </c>
    </row>
    <row r="358">
      <c r="A358" s="221" t="n"/>
      <c r="B358" s="221" t="n"/>
      <c r="C358" s="221" t="n"/>
      <c r="D358" s="230">
        <f>IF(C358="","",IFERROR(INDEX('ข้อมูลนักเรียน'!$T$9:$T$13,C358),"ไม่พบเลขที่"))</f>
        <v/>
      </c>
      <c r="E358" s="221" t="n"/>
      <c r="F358" s="231" t="n"/>
      <c r="G358" s="223" t="n"/>
      <c r="H358" s="221" t="n"/>
      <c r="I358" s="232">
        <f>IF(OR(C358="",G358=""),"",IF(ISNUMBER(SEARCH(TRIM(G358),INDEX('ผู้รับ-ส่ง'!$Q$9:$Q$13,C358))),"✓ มีสิทธิ์รับ","⚠ ไม่อยู่ในรายชื่อ"))</f>
        <v/>
      </c>
      <c r="J358" s="223" t="n"/>
      <c r="K358" s="223" t="n"/>
      <c r="L358" s="233">
        <f>IF(C358="","",IFERROR(INDEX('ผู้รับ-ส่ง'!$O$9:$O$13,C358)&amp;"",""))</f>
        <v/>
      </c>
    </row>
    <row r="359">
      <c r="A359" s="221" t="n"/>
      <c r="B359" s="221" t="n"/>
      <c r="C359" s="221" t="n"/>
      <c r="D359" s="230">
        <f>IF(C359="","",IFERROR(INDEX('ข้อมูลนักเรียน'!$T$9:$T$13,C359),"ไม่พบเลขที่"))</f>
        <v/>
      </c>
      <c r="E359" s="221" t="n"/>
      <c r="F359" s="231" t="n"/>
      <c r="G359" s="223" t="n"/>
      <c r="H359" s="221" t="n"/>
      <c r="I359" s="232">
        <f>IF(OR(C359="",G359=""),"",IF(ISNUMBER(SEARCH(TRIM(G359),INDEX('ผู้รับ-ส่ง'!$Q$9:$Q$13,C359))),"✓ มีสิทธิ์รับ","⚠ ไม่อยู่ในรายชื่อ"))</f>
        <v/>
      </c>
      <c r="J359" s="223" t="n"/>
      <c r="K359" s="223" t="n"/>
      <c r="L359" s="233">
        <f>IF(C359="","",IFERROR(INDEX('ผู้รับ-ส่ง'!$O$9:$O$13,C359)&amp;"",""))</f>
        <v/>
      </c>
    </row>
    <row r="360">
      <c r="A360" s="221" t="n"/>
      <c r="B360" s="221" t="n"/>
      <c r="C360" s="221" t="n"/>
      <c r="D360" s="230">
        <f>IF(C360="","",IFERROR(INDEX('ข้อมูลนักเรียน'!$T$9:$T$13,C360),"ไม่พบเลขที่"))</f>
        <v/>
      </c>
      <c r="E360" s="221" t="n"/>
      <c r="F360" s="231" t="n"/>
      <c r="G360" s="223" t="n"/>
      <c r="H360" s="221" t="n"/>
      <c r="I360" s="232">
        <f>IF(OR(C360="",G360=""),"",IF(ISNUMBER(SEARCH(TRIM(G360),INDEX('ผู้รับ-ส่ง'!$Q$9:$Q$13,C360))),"✓ มีสิทธิ์รับ","⚠ ไม่อยู่ในรายชื่อ"))</f>
        <v/>
      </c>
      <c r="J360" s="223" t="n"/>
      <c r="K360" s="223" t="n"/>
      <c r="L360" s="233">
        <f>IF(C360="","",IFERROR(INDEX('ผู้รับ-ส่ง'!$O$9:$O$13,C360)&amp;"",""))</f>
        <v/>
      </c>
    </row>
    <row r="361">
      <c r="A361" s="221" t="n"/>
      <c r="B361" s="221" t="n"/>
      <c r="C361" s="221" t="n"/>
      <c r="D361" s="230">
        <f>IF(C361="","",IFERROR(INDEX('ข้อมูลนักเรียน'!$T$9:$T$13,C361),"ไม่พบเลขที่"))</f>
        <v/>
      </c>
      <c r="E361" s="221" t="n"/>
      <c r="F361" s="231" t="n"/>
      <c r="G361" s="223" t="n"/>
      <c r="H361" s="221" t="n"/>
      <c r="I361" s="232">
        <f>IF(OR(C361="",G361=""),"",IF(ISNUMBER(SEARCH(TRIM(G361),INDEX('ผู้รับ-ส่ง'!$Q$9:$Q$13,C361))),"✓ มีสิทธิ์รับ","⚠ ไม่อยู่ในรายชื่อ"))</f>
        <v/>
      </c>
      <c r="J361" s="223" t="n"/>
      <c r="K361" s="223" t="n"/>
      <c r="L361" s="233">
        <f>IF(C361="","",IFERROR(INDEX('ผู้รับ-ส่ง'!$O$9:$O$13,C361)&amp;"",""))</f>
        <v/>
      </c>
    </row>
    <row r="362">
      <c r="A362" s="221" t="n"/>
      <c r="B362" s="221" t="n"/>
      <c r="C362" s="221" t="n"/>
      <c r="D362" s="230">
        <f>IF(C362="","",IFERROR(INDEX('ข้อมูลนักเรียน'!$T$9:$T$13,C362),"ไม่พบเลขที่"))</f>
        <v/>
      </c>
      <c r="E362" s="221" t="n"/>
      <c r="F362" s="231" t="n"/>
      <c r="G362" s="223" t="n"/>
      <c r="H362" s="221" t="n"/>
      <c r="I362" s="232">
        <f>IF(OR(C362="",G362=""),"",IF(ISNUMBER(SEARCH(TRIM(G362),INDEX('ผู้รับ-ส่ง'!$Q$9:$Q$13,C362))),"✓ มีสิทธิ์รับ","⚠ ไม่อยู่ในรายชื่อ"))</f>
        <v/>
      </c>
      <c r="J362" s="223" t="n"/>
      <c r="K362" s="223" t="n"/>
      <c r="L362" s="233">
        <f>IF(C362="","",IFERROR(INDEX('ผู้รับ-ส่ง'!$O$9:$O$13,C362)&amp;"",""))</f>
        <v/>
      </c>
    </row>
    <row r="363">
      <c r="A363" s="221" t="n"/>
      <c r="B363" s="221" t="n"/>
      <c r="C363" s="221" t="n"/>
      <c r="D363" s="230">
        <f>IF(C363="","",IFERROR(INDEX('ข้อมูลนักเรียน'!$T$9:$T$13,C363),"ไม่พบเลขที่"))</f>
        <v/>
      </c>
      <c r="E363" s="221" t="n"/>
      <c r="F363" s="231" t="n"/>
      <c r="G363" s="223" t="n"/>
      <c r="H363" s="221" t="n"/>
      <c r="I363" s="232">
        <f>IF(OR(C363="",G363=""),"",IF(ISNUMBER(SEARCH(TRIM(G363),INDEX('ผู้รับ-ส่ง'!$Q$9:$Q$13,C363))),"✓ มีสิทธิ์รับ","⚠ ไม่อยู่ในรายชื่อ"))</f>
        <v/>
      </c>
      <c r="J363" s="223" t="n"/>
      <c r="K363" s="223" t="n"/>
      <c r="L363" s="233">
        <f>IF(C363="","",IFERROR(INDEX('ผู้รับ-ส่ง'!$O$9:$O$13,C363)&amp;"",""))</f>
        <v/>
      </c>
    </row>
    <row r="364">
      <c r="A364" s="221" t="n"/>
      <c r="B364" s="221" t="n"/>
      <c r="C364" s="221" t="n"/>
      <c r="D364" s="230">
        <f>IF(C364="","",IFERROR(INDEX('ข้อมูลนักเรียน'!$T$9:$T$13,C364),"ไม่พบเลขที่"))</f>
        <v/>
      </c>
      <c r="E364" s="221" t="n"/>
      <c r="F364" s="231" t="n"/>
      <c r="G364" s="223" t="n"/>
      <c r="H364" s="221" t="n"/>
      <c r="I364" s="232">
        <f>IF(OR(C364="",G364=""),"",IF(ISNUMBER(SEARCH(TRIM(G364),INDEX('ผู้รับ-ส่ง'!$Q$9:$Q$13,C364))),"✓ มีสิทธิ์รับ","⚠ ไม่อยู่ในรายชื่อ"))</f>
        <v/>
      </c>
      <c r="J364" s="223" t="n"/>
      <c r="K364" s="223" t="n"/>
      <c r="L364" s="233">
        <f>IF(C364="","",IFERROR(INDEX('ผู้รับ-ส่ง'!$O$9:$O$13,C364)&amp;"",""))</f>
        <v/>
      </c>
    </row>
    <row r="365">
      <c r="A365" s="221" t="n"/>
      <c r="B365" s="221" t="n"/>
      <c r="C365" s="221" t="n"/>
      <c r="D365" s="230">
        <f>IF(C365="","",IFERROR(INDEX('ข้อมูลนักเรียน'!$T$9:$T$13,C365),"ไม่พบเลขที่"))</f>
        <v/>
      </c>
      <c r="E365" s="221" t="n"/>
      <c r="F365" s="231" t="n"/>
      <c r="G365" s="223" t="n"/>
      <c r="H365" s="221" t="n"/>
      <c r="I365" s="232">
        <f>IF(OR(C365="",G365=""),"",IF(ISNUMBER(SEARCH(TRIM(G365),INDEX('ผู้รับ-ส่ง'!$Q$9:$Q$13,C365))),"✓ มีสิทธิ์รับ","⚠ ไม่อยู่ในรายชื่อ"))</f>
        <v/>
      </c>
      <c r="J365" s="223" t="n"/>
      <c r="K365" s="223" t="n"/>
      <c r="L365" s="233">
        <f>IF(C365="","",IFERROR(INDEX('ผู้รับ-ส่ง'!$O$9:$O$13,C365)&amp;"",""))</f>
        <v/>
      </c>
    </row>
    <row r="366">
      <c r="A366" s="221" t="n"/>
      <c r="B366" s="221" t="n"/>
      <c r="C366" s="221" t="n"/>
      <c r="D366" s="230">
        <f>IF(C366="","",IFERROR(INDEX('ข้อมูลนักเรียน'!$T$9:$T$13,C366),"ไม่พบเลขที่"))</f>
        <v/>
      </c>
      <c r="E366" s="221" t="n"/>
      <c r="F366" s="231" t="n"/>
      <c r="G366" s="223" t="n"/>
      <c r="H366" s="221" t="n"/>
      <c r="I366" s="232">
        <f>IF(OR(C366="",G366=""),"",IF(ISNUMBER(SEARCH(TRIM(G366),INDEX('ผู้รับ-ส่ง'!$Q$9:$Q$13,C366))),"✓ มีสิทธิ์รับ","⚠ ไม่อยู่ในรายชื่อ"))</f>
        <v/>
      </c>
      <c r="J366" s="223" t="n"/>
      <c r="K366" s="223" t="n"/>
      <c r="L366" s="233">
        <f>IF(C366="","",IFERROR(INDEX('ผู้รับ-ส่ง'!$O$9:$O$13,C366)&amp;"",""))</f>
        <v/>
      </c>
    </row>
    <row r="367">
      <c r="A367" s="221" t="n"/>
      <c r="B367" s="221" t="n"/>
      <c r="C367" s="221" t="n"/>
      <c r="D367" s="230">
        <f>IF(C367="","",IFERROR(INDEX('ข้อมูลนักเรียน'!$T$9:$T$13,C367),"ไม่พบเลขที่"))</f>
        <v/>
      </c>
      <c r="E367" s="221" t="n"/>
      <c r="F367" s="231" t="n"/>
      <c r="G367" s="223" t="n"/>
      <c r="H367" s="221" t="n"/>
      <c r="I367" s="232">
        <f>IF(OR(C367="",G367=""),"",IF(ISNUMBER(SEARCH(TRIM(G367),INDEX('ผู้รับ-ส่ง'!$Q$9:$Q$13,C367))),"✓ มีสิทธิ์รับ","⚠ ไม่อยู่ในรายชื่อ"))</f>
        <v/>
      </c>
      <c r="J367" s="223" t="n"/>
      <c r="K367" s="223" t="n"/>
      <c r="L367" s="233">
        <f>IF(C367="","",IFERROR(INDEX('ผู้รับ-ส่ง'!$O$9:$O$13,C367)&amp;"",""))</f>
        <v/>
      </c>
    </row>
    <row r="368">
      <c r="A368" s="221" t="n"/>
      <c r="B368" s="221" t="n"/>
      <c r="C368" s="221" t="n"/>
      <c r="D368" s="230">
        <f>IF(C368="","",IFERROR(INDEX('ข้อมูลนักเรียน'!$T$9:$T$13,C368),"ไม่พบเลขที่"))</f>
        <v/>
      </c>
      <c r="E368" s="221" t="n"/>
      <c r="F368" s="231" t="n"/>
      <c r="G368" s="223" t="n"/>
      <c r="H368" s="221" t="n"/>
      <c r="I368" s="232">
        <f>IF(OR(C368="",G368=""),"",IF(ISNUMBER(SEARCH(TRIM(G368),INDEX('ผู้รับ-ส่ง'!$Q$9:$Q$13,C368))),"✓ มีสิทธิ์รับ","⚠ ไม่อยู่ในรายชื่อ"))</f>
        <v/>
      </c>
      <c r="J368" s="223" t="n"/>
      <c r="K368" s="223" t="n"/>
      <c r="L368" s="233">
        <f>IF(C368="","",IFERROR(INDEX('ผู้รับ-ส่ง'!$O$9:$O$13,C368)&amp;"",""))</f>
        <v/>
      </c>
    </row>
    <row r="369">
      <c r="A369" s="221" t="n"/>
      <c r="B369" s="221" t="n"/>
      <c r="C369" s="221" t="n"/>
      <c r="D369" s="230">
        <f>IF(C369="","",IFERROR(INDEX('ข้อมูลนักเรียน'!$T$9:$T$13,C369),"ไม่พบเลขที่"))</f>
        <v/>
      </c>
      <c r="E369" s="221" t="n"/>
      <c r="F369" s="231" t="n"/>
      <c r="G369" s="223" t="n"/>
      <c r="H369" s="221" t="n"/>
      <c r="I369" s="232">
        <f>IF(OR(C369="",G369=""),"",IF(ISNUMBER(SEARCH(TRIM(G369),INDEX('ผู้รับ-ส่ง'!$Q$9:$Q$13,C369))),"✓ มีสิทธิ์รับ","⚠ ไม่อยู่ในรายชื่อ"))</f>
        <v/>
      </c>
      <c r="J369" s="223" t="n"/>
      <c r="K369" s="223" t="n"/>
      <c r="L369" s="233">
        <f>IF(C369="","",IFERROR(INDEX('ผู้รับ-ส่ง'!$O$9:$O$13,C369)&amp;"",""))</f>
        <v/>
      </c>
    </row>
    <row r="370">
      <c r="A370" s="221" t="n"/>
      <c r="B370" s="221" t="n"/>
      <c r="C370" s="221" t="n"/>
      <c r="D370" s="230">
        <f>IF(C370="","",IFERROR(INDEX('ข้อมูลนักเรียน'!$T$9:$T$13,C370),"ไม่พบเลขที่"))</f>
        <v/>
      </c>
      <c r="E370" s="221" t="n"/>
      <c r="F370" s="231" t="n"/>
      <c r="G370" s="223" t="n"/>
      <c r="H370" s="221" t="n"/>
      <c r="I370" s="232">
        <f>IF(OR(C370="",G370=""),"",IF(ISNUMBER(SEARCH(TRIM(G370),INDEX('ผู้รับ-ส่ง'!$Q$9:$Q$13,C370))),"✓ มีสิทธิ์รับ","⚠ ไม่อยู่ในรายชื่อ"))</f>
        <v/>
      </c>
      <c r="J370" s="223" t="n"/>
      <c r="K370" s="223" t="n"/>
      <c r="L370" s="233">
        <f>IF(C370="","",IFERROR(INDEX('ผู้รับ-ส่ง'!$O$9:$O$13,C370)&amp;"",""))</f>
        <v/>
      </c>
    </row>
    <row r="371">
      <c r="A371" s="221" t="n"/>
      <c r="B371" s="221" t="n"/>
      <c r="C371" s="221" t="n"/>
      <c r="D371" s="230">
        <f>IF(C371="","",IFERROR(INDEX('ข้อมูลนักเรียน'!$T$9:$T$13,C371),"ไม่พบเลขที่"))</f>
        <v/>
      </c>
      <c r="E371" s="221" t="n"/>
      <c r="F371" s="231" t="n"/>
      <c r="G371" s="223" t="n"/>
      <c r="H371" s="221" t="n"/>
      <c r="I371" s="232">
        <f>IF(OR(C371="",G371=""),"",IF(ISNUMBER(SEARCH(TRIM(G371),INDEX('ผู้รับ-ส่ง'!$Q$9:$Q$13,C371))),"✓ มีสิทธิ์รับ","⚠ ไม่อยู่ในรายชื่อ"))</f>
        <v/>
      </c>
      <c r="J371" s="223" t="n"/>
      <c r="K371" s="223" t="n"/>
      <c r="L371" s="233">
        <f>IF(C371="","",IFERROR(INDEX('ผู้รับ-ส่ง'!$O$9:$O$13,C371)&amp;"",""))</f>
        <v/>
      </c>
    </row>
    <row r="372">
      <c r="A372" s="221" t="n"/>
      <c r="B372" s="221" t="n"/>
      <c r="C372" s="221" t="n"/>
      <c r="D372" s="230">
        <f>IF(C372="","",IFERROR(INDEX('ข้อมูลนักเรียน'!$T$9:$T$13,C372),"ไม่พบเลขที่"))</f>
        <v/>
      </c>
      <c r="E372" s="221" t="n"/>
      <c r="F372" s="231" t="n"/>
      <c r="G372" s="223" t="n"/>
      <c r="H372" s="221" t="n"/>
      <c r="I372" s="232">
        <f>IF(OR(C372="",G372=""),"",IF(ISNUMBER(SEARCH(TRIM(G372),INDEX('ผู้รับ-ส่ง'!$Q$9:$Q$13,C372))),"✓ มีสิทธิ์รับ","⚠ ไม่อยู่ในรายชื่อ"))</f>
        <v/>
      </c>
      <c r="J372" s="223" t="n"/>
      <c r="K372" s="223" t="n"/>
      <c r="L372" s="233">
        <f>IF(C372="","",IFERROR(INDEX('ผู้รับ-ส่ง'!$O$9:$O$13,C372)&amp;"",""))</f>
        <v/>
      </c>
    </row>
    <row r="373">
      <c r="A373" s="221" t="n"/>
      <c r="B373" s="221" t="n"/>
      <c r="C373" s="221" t="n"/>
      <c r="D373" s="230">
        <f>IF(C373="","",IFERROR(INDEX('ข้อมูลนักเรียน'!$T$9:$T$13,C373),"ไม่พบเลขที่"))</f>
        <v/>
      </c>
      <c r="E373" s="221" t="n"/>
      <c r="F373" s="231" t="n"/>
      <c r="G373" s="223" t="n"/>
      <c r="H373" s="221" t="n"/>
      <c r="I373" s="232">
        <f>IF(OR(C373="",G373=""),"",IF(ISNUMBER(SEARCH(TRIM(G373),INDEX('ผู้รับ-ส่ง'!$Q$9:$Q$13,C373))),"✓ มีสิทธิ์รับ","⚠ ไม่อยู่ในรายชื่อ"))</f>
        <v/>
      </c>
      <c r="J373" s="223" t="n"/>
      <c r="K373" s="223" t="n"/>
      <c r="L373" s="233">
        <f>IF(C373="","",IFERROR(INDEX('ผู้รับ-ส่ง'!$O$9:$O$13,C373)&amp;"",""))</f>
        <v/>
      </c>
    </row>
    <row r="374">
      <c r="A374" s="221" t="n"/>
      <c r="B374" s="221" t="n"/>
      <c r="C374" s="221" t="n"/>
      <c r="D374" s="230">
        <f>IF(C374="","",IFERROR(INDEX('ข้อมูลนักเรียน'!$T$9:$T$13,C374),"ไม่พบเลขที่"))</f>
        <v/>
      </c>
      <c r="E374" s="221" t="n"/>
      <c r="F374" s="231" t="n"/>
      <c r="G374" s="223" t="n"/>
      <c r="H374" s="221" t="n"/>
      <c r="I374" s="232">
        <f>IF(OR(C374="",G374=""),"",IF(ISNUMBER(SEARCH(TRIM(G374),INDEX('ผู้รับ-ส่ง'!$Q$9:$Q$13,C374))),"✓ มีสิทธิ์รับ","⚠ ไม่อยู่ในรายชื่อ"))</f>
        <v/>
      </c>
      <c r="J374" s="223" t="n"/>
      <c r="K374" s="223" t="n"/>
      <c r="L374" s="233">
        <f>IF(C374="","",IFERROR(INDEX('ผู้รับ-ส่ง'!$O$9:$O$13,C374)&amp;"",""))</f>
        <v/>
      </c>
    </row>
    <row r="375">
      <c r="A375" s="221" t="n"/>
      <c r="B375" s="221" t="n"/>
      <c r="C375" s="221" t="n"/>
      <c r="D375" s="230">
        <f>IF(C375="","",IFERROR(INDEX('ข้อมูลนักเรียน'!$T$9:$T$13,C375),"ไม่พบเลขที่"))</f>
        <v/>
      </c>
      <c r="E375" s="221" t="n"/>
      <c r="F375" s="231" t="n"/>
      <c r="G375" s="223" t="n"/>
      <c r="H375" s="221" t="n"/>
      <c r="I375" s="232">
        <f>IF(OR(C375="",G375=""),"",IF(ISNUMBER(SEARCH(TRIM(G375),INDEX('ผู้รับ-ส่ง'!$Q$9:$Q$13,C375))),"✓ มีสิทธิ์รับ","⚠ ไม่อยู่ในรายชื่อ"))</f>
        <v/>
      </c>
      <c r="J375" s="223" t="n"/>
      <c r="K375" s="223" t="n"/>
      <c r="L375" s="233">
        <f>IF(C375="","",IFERROR(INDEX('ผู้รับ-ส่ง'!$O$9:$O$13,C375)&amp;"",""))</f>
        <v/>
      </c>
    </row>
    <row r="376">
      <c r="A376" s="221" t="n"/>
      <c r="B376" s="221" t="n"/>
      <c r="C376" s="221" t="n"/>
      <c r="D376" s="230">
        <f>IF(C376="","",IFERROR(INDEX('ข้อมูลนักเรียน'!$T$9:$T$13,C376),"ไม่พบเลขที่"))</f>
        <v/>
      </c>
      <c r="E376" s="221" t="n"/>
      <c r="F376" s="231" t="n"/>
      <c r="G376" s="223" t="n"/>
      <c r="H376" s="221" t="n"/>
      <c r="I376" s="232">
        <f>IF(OR(C376="",G376=""),"",IF(ISNUMBER(SEARCH(TRIM(G376),INDEX('ผู้รับ-ส่ง'!$Q$9:$Q$13,C376))),"✓ มีสิทธิ์รับ","⚠ ไม่อยู่ในรายชื่อ"))</f>
        <v/>
      </c>
      <c r="J376" s="223" t="n"/>
      <c r="K376" s="223" t="n"/>
      <c r="L376" s="233">
        <f>IF(C376="","",IFERROR(INDEX('ผู้รับ-ส่ง'!$O$9:$O$13,C376)&amp;"",""))</f>
        <v/>
      </c>
    </row>
    <row r="377">
      <c r="A377" s="221" t="n"/>
      <c r="B377" s="221" t="n"/>
      <c r="C377" s="221" t="n"/>
      <c r="D377" s="230">
        <f>IF(C377="","",IFERROR(INDEX('ข้อมูลนักเรียน'!$T$9:$T$13,C377),"ไม่พบเลขที่"))</f>
        <v/>
      </c>
      <c r="E377" s="221" t="n"/>
      <c r="F377" s="231" t="n"/>
      <c r="G377" s="223" t="n"/>
      <c r="H377" s="221" t="n"/>
      <c r="I377" s="232">
        <f>IF(OR(C377="",G377=""),"",IF(ISNUMBER(SEARCH(TRIM(G377),INDEX('ผู้รับ-ส่ง'!$Q$9:$Q$13,C377))),"✓ มีสิทธิ์รับ","⚠ ไม่อยู่ในรายชื่อ"))</f>
        <v/>
      </c>
      <c r="J377" s="223" t="n"/>
      <c r="K377" s="223" t="n"/>
      <c r="L377" s="233">
        <f>IF(C377="","",IFERROR(INDEX('ผู้รับ-ส่ง'!$O$9:$O$13,C377)&amp;"",""))</f>
        <v/>
      </c>
    </row>
    <row r="378">
      <c r="A378" s="221" t="n"/>
      <c r="B378" s="221" t="n"/>
      <c r="C378" s="221" t="n"/>
      <c r="D378" s="230">
        <f>IF(C378="","",IFERROR(INDEX('ข้อมูลนักเรียน'!$T$9:$T$13,C378),"ไม่พบเลขที่"))</f>
        <v/>
      </c>
      <c r="E378" s="221" t="n"/>
      <c r="F378" s="231" t="n"/>
      <c r="G378" s="223" t="n"/>
      <c r="H378" s="221" t="n"/>
      <c r="I378" s="232">
        <f>IF(OR(C378="",G378=""),"",IF(ISNUMBER(SEARCH(TRIM(G378),INDEX('ผู้รับ-ส่ง'!$Q$9:$Q$13,C378))),"✓ มีสิทธิ์รับ","⚠ ไม่อยู่ในรายชื่อ"))</f>
        <v/>
      </c>
      <c r="J378" s="223" t="n"/>
      <c r="K378" s="223" t="n"/>
      <c r="L378" s="233">
        <f>IF(C378="","",IFERROR(INDEX('ผู้รับ-ส่ง'!$O$9:$O$13,C378)&amp;"",""))</f>
        <v/>
      </c>
    </row>
    <row r="379">
      <c r="A379" s="221" t="n"/>
      <c r="B379" s="221" t="n"/>
      <c r="C379" s="221" t="n"/>
      <c r="D379" s="230">
        <f>IF(C379="","",IFERROR(INDEX('ข้อมูลนักเรียน'!$T$9:$T$13,C379),"ไม่พบเลขที่"))</f>
        <v/>
      </c>
      <c r="E379" s="221" t="n"/>
      <c r="F379" s="231" t="n"/>
      <c r="G379" s="223" t="n"/>
      <c r="H379" s="221" t="n"/>
      <c r="I379" s="232">
        <f>IF(OR(C379="",G379=""),"",IF(ISNUMBER(SEARCH(TRIM(G379),INDEX('ผู้รับ-ส่ง'!$Q$9:$Q$13,C379))),"✓ มีสิทธิ์รับ","⚠ ไม่อยู่ในรายชื่อ"))</f>
        <v/>
      </c>
      <c r="J379" s="223" t="n"/>
      <c r="K379" s="223" t="n"/>
      <c r="L379" s="233">
        <f>IF(C379="","",IFERROR(INDEX('ผู้รับ-ส่ง'!$O$9:$O$13,C379)&amp;"",""))</f>
        <v/>
      </c>
    </row>
    <row r="380">
      <c r="A380" s="221" t="n"/>
      <c r="B380" s="221" t="n"/>
      <c r="C380" s="221" t="n"/>
      <c r="D380" s="230">
        <f>IF(C380="","",IFERROR(INDEX('ข้อมูลนักเรียน'!$T$9:$T$13,C380),"ไม่พบเลขที่"))</f>
        <v/>
      </c>
      <c r="E380" s="221" t="n"/>
      <c r="F380" s="231" t="n"/>
      <c r="G380" s="223" t="n"/>
      <c r="H380" s="221" t="n"/>
      <c r="I380" s="232">
        <f>IF(OR(C380="",G380=""),"",IF(ISNUMBER(SEARCH(TRIM(G380),INDEX('ผู้รับ-ส่ง'!$Q$9:$Q$13,C380))),"✓ มีสิทธิ์รับ","⚠ ไม่อยู่ในรายชื่อ"))</f>
        <v/>
      </c>
      <c r="J380" s="223" t="n"/>
      <c r="K380" s="223" t="n"/>
      <c r="L380" s="233">
        <f>IF(C380="","",IFERROR(INDEX('ผู้รับ-ส่ง'!$O$9:$O$13,C380)&amp;"",""))</f>
        <v/>
      </c>
    </row>
    <row r="381">
      <c r="A381" s="221" t="n"/>
      <c r="B381" s="221" t="n"/>
      <c r="C381" s="221" t="n"/>
      <c r="D381" s="230">
        <f>IF(C381="","",IFERROR(INDEX('ข้อมูลนักเรียน'!$T$9:$T$13,C381),"ไม่พบเลขที่"))</f>
        <v/>
      </c>
      <c r="E381" s="221" t="n"/>
      <c r="F381" s="231" t="n"/>
      <c r="G381" s="223" t="n"/>
      <c r="H381" s="221" t="n"/>
      <c r="I381" s="232">
        <f>IF(OR(C381="",G381=""),"",IF(ISNUMBER(SEARCH(TRIM(G381),INDEX('ผู้รับ-ส่ง'!$Q$9:$Q$13,C381))),"✓ มีสิทธิ์รับ","⚠ ไม่อยู่ในรายชื่อ"))</f>
        <v/>
      </c>
      <c r="J381" s="223" t="n"/>
      <c r="K381" s="223" t="n"/>
      <c r="L381" s="233">
        <f>IF(C381="","",IFERROR(INDEX('ผู้รับ-ส่ง'!$O$9:$O$13,C381)&amp;"",""))</f>
        <v/>
      </c>
    </row>
    <row r="382">
      <c r="A382" s="221" t="n"/>
      <c r="B382" s="221" t="n"/>
      <c r="C382" s="221" t="n"/>
      <c r="D382" s="230">
        <f>IF(C382="","",IFERROR(INDEX('ข้อมูลนักเรียน'!$T$9:$T$13,C382),"ไม่พบเลขที่"))</f>
        <v/>
      </c>
      <c r="E382" s="221" t="n"/>
      <c r="F382" s="231" t="n"/>
      <c r="G382" s="223" t="n"/>
      <c r="H382" s="221" t="n"/>
      <c r="I382" s="232">
        <f>IF(OR(C382="",G382=""),"",IF(ISNUMBER(SEARCH(TRIM(G382),INDEX('ผู้รับ-ส่ง'!$Q$9:$Q$13,C382))),"✓ มีสิทธิ์รับ","⚠ ไม่อยู่ในรายชื่อ"))</f>
        <v/>
      </c>
      <c r="J382" s="223" t="n"/>
      <c r="K382" s="223" t="n"/>
      <c r="L382" s="233">
        <f>IF(C382="","",IFERROR(INDEX('ผู้รับ-ส่ง'!$O$9:$O$13,C382)&amp;"",""))</f>
        <v/>
      </c>
    </row>
    <row r="383">
      <c r="A383" s="221" t="n"/>
      <c r="B383" s="221" t="n"/>
      <c r="C383" s="221" t="n"/>
      <c r="D383" s="230">
        <f>IF(C383="","",IFERROR(INDEX('ข้อมูลนักเรียน'!$T$9:$T$13,C383),"ไม่พบเลขที่"))</f>
        <v/>
      </c>
      <c r="E383" s="221" t="n"/>
      <c r="F383" s="231" t="n"/>
      <c r="G383" s="223" t="n"/>
      <c r="H383" s="221" t="n"/>
      <c r="I383" s="232">
        <f>IF(OR(C383="",G383=""),"",IF(ISNUMBER(SEARCH(TRIM(G383),INDEX('ผู้รับ-ส่ง'!$Q$9:$Q$13,C383))),"✓ มีสิทธิ์รับ","⚠ ไม่อยู่ในรายชื่อ"))</f>
        <v/>
      </c>
      <c r="J383" s="223" t="n"/>
      <c r="K383" s="223" t="n"/>
      <c r="L383" s="233">
        <f>IF(C383="","",IFERROR(INDEX('ผู้รับ-ส่ง'!$O$9:$O$13,C383)&amp;"",""))</f>
        <v/>
      </c>
    </row>
    <row r="384">
      <c r="A384" s="221" t="n"/>
      <c r="B384" s="221" t="n"/>
      <c r="C384" s="221" t="n"/>
      <c r="D384" s="230">
        <f>IF(C384="","",IFERROR(INDEX('ข้อมูลนักเรียน'!$T$9:$T$13,C384),"ไม่พบเลขที่"))</f>
        <v/>
      </c>
      <c r="E384" s="221" t="n"/>
      <c r="F384" s="231" t="n"/>
      <c r="G384" s="223" t="n"/>
      <c r="H384" s="221" t="n"/>
      <c r="I384" s="232">
        <f>IF(OR(C384="",G384=""),"",IF(ISNUMBER(SEARCH(TRIM(G384),INDEX('ผู้รับ-ส่ง'!$Q$9:$Q$13,C384))),"✓ มีสิทธิ์รับ","⚠ ไม่อยู่ในรายชื่อ"))</f>
        <v/>
      </c>
      <c r="J384" s="223" t="n"/>
      <c r="K384" s="223" t="n"/>
      <c r="L384" s="233">
        <f>IF(C384="","",IFERROR(INDEX('ผู้รับ-ส่ง'!$O$9:$O$13,C384)&amp;"",""))</f>
        <v/>
      </c>
    </row>
    <row r="385">
      <c r="A385" s="221" t="n"/>
      <c r="B385" s="221" t="n"/>
      <c r="C385" s="221" t="n"/>
      <c r="D385" s="230">
        <f>IF(C385="","",IFERROR(INDEX('ข้อมูลนักเรียน'!$T$9:$T$13,C385),"ไม่พบเลขที่"))</f>
        <v/>
      </c>
      <c r="E385" s="221" t="n"/>
      <c r="F385" s="231" t="n"/>
      <c r="G385" s="223" t="n"/>
      <c r="H385" s="221" t="n"/>
      <c r="I385" s="232">
        <f>IF(OR(C385="",G385=""),"",IF(ISNUMBER(SEARCH(TRIM(G385),INDEX('ผู้รับ-ส่ง'!$Q$9:$Q$13,C385))),"✓ มีสิทธิ์รับ","⚠ ไม่อยู่ในรายชื่อ"))</f>
        <v/>
      </c>
      <c r="J385" s="223" t="n"/>
      <c r="K385" s="223" t="n"/>
      <c r="L385" s="233">
        <f>IF(C385="","",IFERROR(INDEX('ผู้รับ-ส่ง'!$O$9:$O$13,C385)&amp;"",""))</f>
        <v/>
      </c>
    </row>
    <row r="386">
      <c r="A386" s="221" t="n"/>
      <c r="B386" s="221" t="n"/>
      <c r="C386" s="221" t="n"/>
      <c r="D386" s="230">
        <f>IF(C386="","",IFERROR(INDEX('ข้อมูลนักเรียน'!$T$9:$T$13,C386),"ไม่พบเลขที่"))</f>
        <v/>
      </c>
      <c r="E386" s="221" t="n"/>
      <c r="F386" s="231" t="n"/>
      <c r="G386" s="223" t="n"/>
      <c r="H386" s="221" t="n"/>
      <c r="I386" s="232">
        <f>IF(OR(C386="",G386=""),"",IF(ISNUMBER(SEARCH(TRIM(G386),INDEX('ผู้รับ-ส่ง'!$Q$9:$Q$13,C386))),"✓ มีสิทธิ์รับ","⚠ ไม่อยู่ในรายชื่อ"))</f>
        <v/>
      </c>
      <c r="J386" s="223" t="n"/>
      <c r="K386" s="223" t="n"/>
      <c r="L386" s="233">
        <f>IF(C386="","",IFERROR(INDEX('ผู้รับ-ส่ง'!$O$9:$O$13,C386)&amp;"",""))</f>
        <v/>
      </c>
    </row>
    <row r="387">
      <c r="A387" s="221" t="n"/>
      <c r="B387" s="221" t="n"/>
      <c r="C387" s="221" t="n"/>
      <c r="D387" s="230">
        <f>IF(C387="","",IFERROR(INDEX('ข้อมูลนักเรียน'!$T$9:$T$13,C387),"ไม่พบเลขที่"))</f>
        <v/>
      </c>
      <c r="E387" s="221" t="n"/>
      <c r="F387" s="231" t="n"/>
      <c r="G387" s="223" t="n"/>
      <c r="H387" s="221" t="n"/>
      <c r="I387" s="232">
        <f>IF(OR(C387="",G387=""),"",IF(ISNUMBER(SEARCH(TRIM(G387),INDEX('ผู้รับ-ส่ง'!$Q$9:$Q$13,C387))),"✓ มีสิทธิ์รับ","⚠ ไม่อยู่ในรายชื่อ"))</f>
        <v/>
      </c>
      <c r="J387" s="223" t="n"/>
      <c r="K387" s="223" t="n"/>
      <c r="L387" s="233">
        <f>IF(C387="","",IFERROR(INDEX('ผู้รับ-ส่ง'!$O$9:$O$13,C387)&amp;"",""))</f>
        <v/>
      </c>
    </row>
    <row r="388">
      <c r="A388" s="221" t="n"/>
      <c r="B388" s="221" t="n"/>
      <c r="C388" s="221" t="n"/>
      <c r="D388" s="230">
        <f>IF(C388="","",IFERROR(INDEX('ข้อมูลนักเรียน'!$T$9:$T$13,C388),"ไม่พบเลขที่"))</f>
        <v/>
      </c>
      <c r="E388" s="221" t="n"/>
      <c r="F388" s="231" t="n"/>
      <c r="G388" s="223" t="n"/>
      <c r="H388" s="221" t="n"/>
      <c r="I388" s="232">
        <f>IF(OR(C388="",G388=""),"",IF(ISNUMBER(SEARCH(TRIM(G388),INDEX('ผู้รับ-ส่ง'!$Q$9:$Q$13,C388))),"✓ มีสิทธิ์รับ","⚠ ไม่อยู่ในรายชื่อ"))</f>
        <v/>
      </c>
      <c r="J388" s="223" t="n"/>
      <c r="K388" s="223" t="n"/>
      <c r="L388" s="233">
        <f>IF(C388="","",IFERROR(INDEX('ผู้รับ-ส่ง'!$O$9:$O$13,C388)&amp;"",""))</f>
        <v/>
      </c>
    </row>
    <row r="389">
      <c r="A389" s="221" t="n"/>
      <c r="B389" s="221" t="n"/>
      <c r="C389" s="221" t="n"/>
      <c r="D389" s="230">
        <f>IF(C389="","",IFERROR(INDEX('ข้อมูลนักเรียน'!$T$9:$T$13,C389),"ไม่พบเลขที่"))</f>
        <v/>
      </c>
      <c r="E389" s="221" t="n"/>
      <c r="F389" s="231" t="n"/>
      <c r="G389" s="223" t="n"/>
      <c r="H389" s="221" t="n"/>
      <c r="I389" s="232">
        <f>IF(OR(C389="",G389=""),"",IF(ISNUMBER(SEARCH(TRIM(G389),INDEX('ผู้รับ-ส่ง'!$Q$9:$Q$13,C389))),"✓ มีสิทธิ์รับ","⚠ ไม่อยู่ในรายชื่อ"))</f>
        <v/>
      </c>
      <c r="J389" s="223" t="n"/>
      <c r="K389" s="223" t="n"/>
      <c r="L389" s="233">
        <f>IF(C389="","",IFERROR(INDEX('ผู้รับ-ส่ง'!$O$9:$O$13,C389)&amp;"",""))</f>
        <v/>
      </c>
    </row>
    <row r="390">
      <c r="A390" s="221" t="n"/>
      <c r="B390" s="221" t="n"/>
      <c r="C390" s="221" t="n"/>
      <c r="D390" s="230">
        <f>IF(C390="","",IFERROR(INDEX('ข้อมูลนักเรียน'!$T$9:$T$13,C390),"ไม่พบเลขที่"))</f>
        <v/>
      </c>
      <c r="E390" s="221" t="n"/>
      <c r="F390" s="231" t="n"/>
      <c r="G390" s="223" t="n"/>
      <c r="H390" s="221" t="n"/>
      <c r="I390" s="232">
        <f>IF(OR(C390="",G390=""),"",IF(ISNUMBER(SEARCH(TRIM(G390),INDEX('ผู้รับ-ส่ง'!$Q$9:$Q$13,C390))),"✓ มีสิทธิ์รับ","⚠ ไม่อยู่ในรายชื่อ"))</f>
        <v/>
      </c>
      <c r="J390" s="223" t="n"/>
      <c r="K390" s="223" t="n"/>
      <c r="L390" s="233">
        <f>IF(C390="","",IFERROR(INDEX('ผู้รับ-ส่ง'!$O$9:$O$13,C390)&amp;"",""))</f>
        <v/>
      </c>
    </row>
    <row r="391">
      <c r="A391" s="221" t="n"/>
      <c r="B391" s="221" t="n"/>
      <c r="C391" s="221" t="n"/>
      <c r="D391" s="230">
        <f>IF(C391="","",IFERROR(INDEX('ข้อมูลนักเรียน'!$T$9:$T$13,C391),"ไม่พบเลขที่"))</f>
        <v/>
      </c>
      <c r="E391" s="221" t="n"/>
      <c r="F391" s="231" t="n"/>
      <c r="G391" s="223" t="n"/>
      <c r="H391" s="221" t="n"/>
      <c r="I391" s="232">
        <f>IF(OR(C391="",G391=""),"",IF(ISNUMBER(SEARCH(TRIM(G391),INDEX('ผู้รับ-ส่ง'!$Q$9:$Q$13,C391))),"✓ มีสิทธิ์รับ","⚠ ไม่อยู่ในรายชื่อ"))</f>
        <v/>
      </c>
      <c r="J391" s="223" t="n"/>
      <c r="K391" s="223" t="n"/>
      <c r="L391" s="233">
        <f>IF(C391="","",IFERROR(INDEX('ผู้รับ-ส่ง'!$O$9:$O$13,C391)&amp;"",""))</f>
        <v/>
      </c>
    </row>
    <row r="392">
      <c r="A392" s="221" t="n"/>
      <c r="B392" s="221" t="n"/>
      <c r="C392" s="221" t="n"/>
      <c r="D392" s="230">
        <f>IF(C392="","",IFERROR(INDEX('ข้อมูลนักเรียน'!$T$9:$T$13,C392),"ไม่พบเลขที่"))</f>
        <v/>
      </c>
      <c r="E392" s="221" t="n"/>
      <c r="F392" s="231" t="n"/>
      <c r="G392" s="223" t="n"/>
      <c r="H392" s="221" t="n"/>
      <c r="I392" s="232">
        <f>IF(OR(C392="",G392=""),"",IF(ISNUMBER(SEARCH(TRIM(G392),INDEX('ผู้รับ-ส่ง'!$Q$9:$Q$13,C392))),"✓ มีสิทธิ์รับ","⚠ ไม่อยู่ในรายชื่อ"))</f>
        <v/>
      </c>
      <c r="J392" s="223" t="n"/>
      <c r="K392" s="223" t="n"/>
      <c r="L392" s="233">
        <f>IF(C392="","",IFERROR(INDEX('ผู้รับ-ส่ง'!$O$9:$O$13,C392)&amp;"",""))</f>
        <v/>
      </c>
    </row>
    <row r="393">
      <c r="A393" s="221" t="n"/>
      <c r="B393" s="221" t="n"/>
      <c r="C393" s="221" t="n"/>
      <c r="D393" s="230">
        <f>IF(C393="","",IFERROR(INDEX('ข้อมูลนักเรียน'!$T$9:$T$13,C393),"ไม่พบเลขที่"))</f>
        <v/>
      </c>
      <c r="E393" s="221" t="n"/>
      <c r="F393" s="231" t="n"/>
      <c r="G393" s="223" t="n"/>
      <c r="H393" s="221" t="n"/>
      <c r="I393" s="232">
        <f>IF(OR(C393="",G393=""),"",IF(ISNUMBER(SEARCH(TRIM(G393),INDEX('ผู้รับ-ส่ง'!$Q$9:$Q$13,C393))),"✓ มีสิทธิ์รับ","⚠ ไม่อยู่ในรายชื่อ"))</f>
        <v/>
      </c>
      <c r="J393" s="223" t="n"/>
      <c r="K393" s="223" t="n"/>
      <c r="L393" s="233">
        <f>IF(C393="","",IFERROR(INDEX('ผู้รับ-ส่ง'!$O$9:$O$13,C393)&amp;"",""))</f>
        <v/>
      </c>
    </row>
    <row r="394">
      <c r="A394" s="221" t="n"/>
      <c r="B394" s="221" t="n"/>
      <c r="C394" s="221" t="n"/>
      <c r="D394" s="230">
        <f>IF(C394="","",IFERROR(INDEX('ข้อมูลนักเรียน'!$T$9:$T$13,C394),"ไม่พบเลขที่"))</f>
        <v/>
      </c>
      <c r="E394" s="221" t="n"/>
      <c r="F394" s="231" t="n"/>
      <c r="G394" s="223" t="n"/>
      <c r="H394" s="221" t="n"/>
      <c r="I394" s="232">
        <f>IF(OR(C394="",G394=""),"",IF(ISNUMBER(SEARCH(TRIM(G394),INDEX('ผู้รับ-ส่ง'!$Q$9:$Q$13,C394))),"✓ มีสิทธิ์รับ","⚠ ไม่อยู่ในรายชื่อ"))</f>
        <v/>
      </c>
      <c r="J394" s="223" t="n"/>
      <c r="K394" s="223" t="n"/>
      <c r="L394" s="233">
        <f>IF(C394="","",IFERROR(INDEX('ผู้รับ-ส่ง'!$O$9:$O$13,C394)&amp;"",""))</f>
        <v/>
      </c>
    </row>
    <row r="395">
      <c r="A395" s="221" t="n"/>
      <c r="B395" s="221" t="n"/>
      <c r="C395" s="221" t="n"/>
      <c r="D395" s="230">
        <f>IF(C395="","",IFERROR(INDEX('ข้อมูลนักเรียน'!$T$9:$T$13,C395),"ไม่พบเลขที่"))</f>
        <v/>
      </c>
      <c r="E395" s="221" t="n"/>
      <c r="F395" s="231" t="n"/>
      <c r="G395" s="223" t="n"/>
      <c r="H395" s="221" t="n"/>
      <c r="I395" s="232">
        <f>IF(OR(C395="",G395=""),"",IF(ISNUMBER(SEARCH(TRIM(G395),INDEX('ผู้รับ-ส่ง'!$Q$9:$Q$13,C395))),"✓ มีสิทธิ์รับ","⚠ ไม่อยู่ในรายชื่อ"))</f>
        <v/>
      </c>
      <c r="J395" s="223" t="n"/>
      <c r="K395" s="223" t="n"/>
      <c r="L395" s="233">
        <f>IF(C395="","",IFERROR(INDEX('ผู้รับ-ส่ง'!$O$9:$O$13,C395)&amp;"",""))</f>
        <v/>
      </c>
    </row>
    <row r="396">
      <c r="A396" s="221" t="n"/>
      <c r="B396" s="221" t="n"/>
      <c r="C396" s="221" t="n"/>
      <c r="D396" s="230">
        <f>IF(C396="","",IFERROR(INDEX('ข้อมูลนักเรียน'!$T$9:$T$13,C396),"ไม่พบเลขที่"))</f>
        <v/>
      </c>
      <c r="E396" s="221" t="n"/>
      <c r="F396" s="231" t="n"/>
      <c r="G396" s="223" t="n"/>
      <c r="H396" s="221" t="n"/>
      <c r="I396" s="232">
        <f>IF(OR(C396="",G396=""),"",IF(ISNUMBER(SEARCH(TRIM(G396),INDEX('ผู้รับ-ส่ง'!$Q$9:$Q$13,C396))),"✓ มีสิทธิ์รับ","⚠ ไม่อยู่ในรายชื่อ"))</f>
        <v/>
      </c>
      <c r="J396" s="223" t="n"/>
      <c r="K396" s="223" t="n"/>
      <c r="L396" s="233">
        <f>IF(C396="","",IFERROR(INDEX('ผู้รับ-ส่ง'!$O$9:$O$13,C396)&amp;"",""))</f>
        <v/>
      </c>
    </row>
    <row r="397">
      <c r="A397" s="221" t="n"/>
      <c r="B397" s="221" t="n"/>
      <c r="C397" s="221" t="n"/>
      <c r="D397" s="230">
        <f>IF(C397="","",IFERROR(INDEX('ข้อมูลนักเรียน'!$T$9:$T$13,C397),"ไม่พบเลขที่"))</f>
        <v/>
      </c>
      <c r="E397" s="221" t="n"/>
      <c r="F397" s="231" t="n"/>
      <c r="G397" s="223" t="n"/>
      <c r="H397" s="221" t="n"/>
      <c r="I397" s="232">
        <f>IF(OR(C397="",G397=""),"",IF(ISNUMBER(SEARCH(TRIM(G397),INDEX('ผู้รับ-ส่ง'!$Q$9:$Q$13,C397))),"✓ มีสิทธิ์รับ","⚠ ไม่อยู่ในรายชื่อ"))</f>
        <v/>
      </c>
      <c r="J397" s="223" t="n"/>
      <c r="K397" s="223" t="n"/>
      <c r="L397" s="233">
        <f>IF(C397="","",IFERROR(INDEX('ผู้รับ-ส่ง'!$O$9:$O$13,C397)&amp;"",""))</f>
        <v/>
      </c>
    </row>
    <row r="398">
      <c r="A398" s="221" t="n"/>
      <c r="B398" s="221" t="n"/>
      <c r="C398" s="221" t="n"/>
      <c r="D398" s="230">
        <f>IF(C398="","",IFERROR(INDEX('ข้อมูลนักเรียน'!$T$9:$T$13,C398),"ไม่พบเลขที่"))</f>
        <v/>
      </c>
      <c r="E398" s="221" t="n"/>
      <c r="F398" s="231" t="n"/>
      <c r="G398" s="223" t="n"/>
      <c r="H398" s="221" t="n"/>
      <c r="I398" s="232">
        <f>IF(OR(C398="",G398=""),"",IF(ISNUMBER(SEARCH(TRIM(G398),INDEX('ผู้รับ-ส่ง'!$Q$9:$Q$13,C398))),"✓ มีสิทธิ์รับ","⚠ ไม่อยู่ในรายชื่อ"))</f>
        <v/>
      </c>
      <c r="J398" s="223" t="n"/>
      <c r="K398" s="223" t="n"/>
      <c r="L398" s="233">
        <f>IF(C398="","",IFERROR(INDEX('ผู้รับ-ส่ง'!$O$9:$O$13,C398)&amp;"",""))</f>
        <v/>
      </c>
    </row>
    <row r="399">
      <c r="A399" s="221" t="n"/>
      <c r="B399" s="221" t="n"/>
      <c r="C399" s="221" t="n"/>
      <c r="D399" s="230">
        <f>IF(C399="","",IFERROR(INDEX('ข้อมูลนักเรียน'!$T$9:$T$13,C399),"ไม่พบเลขที่"))</f>
        <v/>
      </c>
      <c r="E399" s="221" t="n"/>
      <c r="F399" s="231" t="n"/>
      <c r="G399" s="223" t="n"/>
      <c r="H399" s="221" t="n"/>
      <c r="I399" s="232">
        <f>IF(OR(C399="",G399=""),"",IF(ISNUMBER(SEARCH(TRIM(G399),INDEX('ผู้รับ-ส่ง'!$Q$9:$Q$13,C399))),"✓ มีสิทธิ์รับ","⚠ ไม่อยู่ในรายชื่อ"))</f>
        <v/>
      </c>
      <c r="J399" s="223" t="n"/>
      <c r="K399" s="223" t="n"/>
      <c r="L399" s="233">
        <f>IF(C399="","",IFERROR(INDEX('ผู้รับ-ส่ง'!$O$9:$O$13,C399)&amp;"",""))</f>
        <v/>
      </c>
    </row>
    <row r="400">
      <c r="A400" s="221" t="n"/>
      <c r="B400" s="221" t="n"/>
      <c r="C400" s="221" t="n"/>
      <c r="D400" s="230">
        <f>IF(C400="","",IFERROR(INDEX('ข้อมูลนักเรียน'!$T$9:$T$13,C400),"ไม่พบเลขที่"))</f>
        <v/>
      </c>
      <c r="E400" s="221" t="n"/>
      <c r="F400" s="231" t="n"/>
      <c r="G400" s="223" t="n"/>
      <c r="H400" s="221" t="n"/>
      <c r="I400" s="232">
        <f>IF(OR(C400="",G400=""),"",IF(ISNUMBER(SEARCH(TRIM(G400),INDEX('ผู้รับ-ส่ง'!$Q$9:$Q$13,C400))),"✓ มีสิทธิ์รับ","⚠ ไม่อยู่ในรายชื่อ"))</f>
        <v/>
      </c>
      <c r="J400" s="223" t="n"/>
      <c r="K400" s="223" t="n"/>
      <c r="L400" s="233">
        <f>IF(C400="","",IFERROR(INDEX('ผู้รับ-ส่ง'!$O$9:$O$13,C400)&amp;"",""))</f>
        <v/>
      </c>
    </row>
    <row r="401">
      <c r="A401" s="221" t="n"/>
      <c r="B401" s="221" t="n"/>
      <c r="C401" s="221" t="n"/>
      <c r="D401" s="230">
        <f>IF(C401="","",IFERROR(INDEX('ข้อมูลนักเรียน'!$T$9:$T$13,C401),"ไม่พบเลขที่"))</f>
        <v/>
      </c>
      <c r="E401" s="221" t="n"/>
      <c r="F401" s="231" t="n"/>
      <c r="G401" s="223" t="n"/>
      <c r="H401" s="221" t="n"/>
      <c r="I401" s="232">
        <f>IF(OR(C401="",G401=""),"",IF(ISNUMBER(SEARCH(TRIM(G401),INDEX('ผู้รับ-ส่ง'!$Q$9:$Q$13,C401))),"✓ มีสิทธิ์รับ","⚠ ไม่อยู่ในรายชื่อ"))</f>
        <v/>
      </c>
      <c r="J401" s="223" t="n"/>
      <c r="K401" s="223" t="n"/>
      <c r="L401" s="233">
        <f>IF(C401="","",IFERROR(INDEX('ผู้รับ-ส่ง'!$O$9:$O$13,C401)&amp;"",""))</f>
        <v/>
      </c>
    </row>
    <row r="402">
      <c r="A402" s="221" t="n"/>
      <c r="B402" s="221" t="n"/>
      <c r="C402" s="221" t="n"/>
      <c r="D402" s="230">
        <f>IF(C402="","",IFERROR(INDEX('ข้อมูลนักเรียน'!$T$9:$T$13,C402),"ไม่พบเลขที่"))</f>
        <v/>
      </c>
      <c r="E402" s="221" t="n"/>
      <c r="F402" s="231" t="n"/>
      <c r="G402" s="223" t="n"/>
      <c r="H402" s="221" t="n"/>
      <c r="I402" s="232">
        <f>IF(OR(C402="",G402=""),"",IF(ISNUMBER(SEARCH(TRIM(G402),INDEX('ผู้รับ-ส่ง'!$Q$9:$Q$13,C402))),"✓ มีสิทธิ์รับ","⚠ ไม่อยู่ในรายชื่อ"))</f>
        <v/>
      </c>
      <c r="J402" s="223" t="n"/>
      <c r="K402" s="223" t="n"/>
      <c r="L402" s="233">
        <f>IF(C402="","",IFERROR(INDEX('ผู้รับ-ส่ง'!$O$9:$O$13,C402)&amp;"",""))</f>
        <v/>
      </c>
    </row>
    <row r="403">
      <c r="A403" s="221" t="n"/>
      <c r="B403" s="221" t="n"/>
      <c r="C403" s="221" t="n"/>
      <c r="D403" s="230">
        <f>IF(C403="","",IFERROR(INDEX('ข้อมูลนักเรียน'!$T$9:$T$13,C403),"ไม่พบเลขที่"))</f>
        <v/>
      </c>
      <c r="E403" s="221" t="n"/>
      <c r="F403" s="231" t="n"/>
      <c r="G403" s="223" t="n"/>
      <c r="H403" s="221" t="n"/>
      <c r="I403" s="232">
        <f>IF(OR(C403="",G403=""),"",IF(ISNUMBER(SEARCH(TRIM(G403),INDEX('ผู้รับ-ส่ง'!$Q$9:$Q$13,C403))),"✓ มีสิทธิ์รับ","⚠ ไม่อยู่ในรายชื่อ"))</f>
        <v/>
      </c>
      <c r="J403" s="223" t="n"/>
      <c r="K403" s="223" t="n"/>
      <c r="L403" s="233">
        <f>IF(C403="","",IFERROR(INDEX('ผู้รับ-ส่ง'!$O$9:$O$13,C403)&amp;"",""))</f>
        <v/>
      </c>
    </row>
    <row r="404">
      <c r="A404" s="221" t="n"/>
      <c r="B404" s="221" t="n"/>
      <c r="C404" s="221" t="n"/>
      <c r="D404" s="230">
        <f>IF(C404="","",IFERROR(INDEX('ข้อมูลนักเรียน'!$T$9:$T$13,C404),"ไม่พบเลขที่"))</f>
        <v/>
      </c>
      <c r="E404" s="221" t="n"/>
      <c r="F404" s="231" t="n"/>
      <c r="G404" s="223" t="n"/>
      <c r="H404" s="221" t="n"/>
      <c r="I404" s="232">
        <f>IF(OR(C404="",G404=""),"",IF(ISNUMBER(SEARCH(TRIM(G404),INDEX('ผู้รับ-ส่ง'!$Q$9:$Q$13,C404))),"✓ มีสิทธิ์รับ","⚠ ไม่อยู่ในรายชื่อ"))</f>
        <v/>
      </c>
      <c r="J404" s="223" t="n"/>
      <c r="K404" s="223" t="n"/>
      <c r="L404" s="233">
        <f>IF(C404="","",IFERROR(INDEX('ผู้รับ-ส่ง'!$O$9:$O$13,C404)&amp;"",""))</f>
        <v/>
      </c>
    </row>
    <row r="405">
      <c r="A405" s="221" t="n"/>
      <c r="B405" s="221" t="n"/>
      <c r="C405" s="221" t="n"/>
      <c r="D405" s="230">
        <f>IF(C405="","",IFERROR(INDEX('ข้อมูลนักเรียน'!$T$9:$T$13,C405),"ไม่พบเลขที่"))</f>
        <v/>
      </c>
      <c r="E405" s="221" t="n"/>
      <c r="F405" s="231" t="n"/>
      <c r="G405" s="223" t="n"/>
      <c r="H405" s="221" t="n"/>
      <c r="I405" s="232">
        <f>IF(OR(C405="",G405=""),"",IF(ISNUMBER(SEARCH(TRIM(G405),INDEX('ผู้รับ-ส่ง'!$Q$9:$Q$13,C405))),"✓ มีสิทธิ์รับ","⚠ ไม่อยู่ในรายชื่อ"))</f>
        <v/>
      </c>
      <c r="J405" s="223" t="n"/>
      <c r="K405" s="223" t="n"/>
      <c r="L405" s="233">
        <f>IF(C405="","",IFERROR(INDEX('ผู้รับ-ส่ง'!$O$9:$O$13,C405)&amp;"",""))</f>
        <v/>
      </c>
    </row>
    <row r="406">
      <c r="A406" s="221" t="n"/>
      <c r="B406" s="221" t="n"/>
      <c r="C406" s="221" t="n"/>
      <c r="D406" s="230">
        <f>IF(C406="","",IFERROR(INDEX('ข้อมูลนักเรียน'!$T$9:$T$13,C406),"ไม่พบเลขที่"))</f>
        <v/>
      </c>
      <c r="E406" s="221" t="n"/>
      <c r="F406" s="231" t="n"/>
      <c r="G406" s="223" t="n"/>
      <c r="H406" s="221" t="n"/>
      <c r="I406" s="232">
        <f>IF(OR(C406="",G406=""),"",IF(ISNUMBER(SEARCH(TRIM(G406),INDEX('ผู้รับ-ส่ง'!$Q$9:$Q$13,C406))),"✓ มีสิทธิ์รับ","⚠ ไม่อยู่ในรายชื่อ"))</f>
        <v/>
      </c>
      <c r="J406" s="223" t="n"/>
      <c r="K406" s="223" t="n"/>
      <c r="L406" s="233">
        <f>IF(C406="","",IFERROR(INDEX('ผู้รับ-ส่ง'!$O$9:$O$13,C406)&amp;"",""))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2">
    <mergeCell ref="A5:A6"/>
    <mergeCell ref="G5:G6"/>
    <mergeCell ref="E5:E6"/>
    <mergeCell ref="H5:H6"/>
    <mergeCell ref="K5:K6"/>
    <mergeCell ref="J5:J6"/>
    <mergeCell ref="L5:L6"/>
    <mergeCell ref="C5:C6"/>
    <mergeCell ref="F5:F6"/>
    <mergeCell ref="B5:B6"/>
    <mergeCell ref="I5:I6"/>
    <mergeCell ref="D5:D6"/>
  </mergeCells>
  <conditionalFormatting sqref="I7:I406">
    <cfRule type="expression" priority="1" dxfId="1">
      <formula>LEFT(I7,1)="⚠"</formula>
    </cfRule>
    <cfRule type="expression" priority="2" dxfId="2">
      <formula>LEFT(I7,1)="✓"</formula>
    </cfRule>
  </conditionalFormatting>
  <dataValidations count="4">
    <dataValidation sqref="A7:A406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B7:B406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"พฤษภาคม,มิถุนายน,กรกฎาคม,สิงหาคม,กันยายน,ตุลาคม,พฤศจิกายน,ธันวาคม,มกราคม,กุมภาพันธ์,มีนาคม"</formula1>
    </dataValidation>
    <dataValidation sqref="C7:C406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5</formula2>
    </dataValidation>
    <dataValidation sqref="E7:E406" showDropDown="0" showInputMessage="0" showErrorMessage="0" allowBlank="1" errorTitle="ตรวจสอบข้อมูล" error="ข้อมูลไม่ถูกต้อง กรุณาเลือกจากรายการ" type="list">
      <formula1>"มาส่ง,รับกลับ,รับก่อนเวลา,มาสาย,ผู้รับไม่ใช่คนประจำ,รับช้า/เกินเวลา,อื่น ๆ"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0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58B7C6"/>
    <outlinePr summaryBelow="1" summaryRight="1"/>
    <pageSetUpPr fitToPage="1"/>
  </sheetPr>
  <dimension ref="A1:M15"/>
  <sheetViews>
    <sheetView tabSelected="0" workbookViewId="0">
      <selection activeCell="A1" sqref="A1"/>
    </sheetView>
  </sheetViews>
  <sheetFormatPr baseColWidth="8" defaultRowHeight="15"/>
  <cols>
    <col width="5" customWidth="1" min="1" max="1"/>
    <col width="23" customWidth="1" min="2" max="2"/>
    <col width="8" customWidth="1" min="3" max="3"/>
    <col width="8" customWidth="1" min="4" max="4"/>
    <col width="17" customWidth="1" min="5" max="5"/>
    <col width="8" customWidth="1" min="6" max="6"/>
    <col width="17" customWidth="1" min="7" max="7"/>
    <col width="24" customWidth="1" min="8" max="8"/>
    <col width="3" customWidth="1" min="9" max="9"/>
    <col width="14" customWidth="1" min="10" max="10"/>
    <col width="18" customWidth="1" min="11" max="11"/>
    <col hidden="1" width="13" customWidth="1" min="13" max="13"/>
    <col hidden="1" width="13" customWidth="1" min="14" max="14"/>
  </cols>
  <sheetData>
    <row r="1" ht="30" customHeight="1">
      <c r="A1" s="234" t="inlineStr">
        <is>
          <t>🏠</t>
        </is>
      </c>
      <c r="B1" s="235">
        <f>"ใบลงชื่อรับ - ส่งนักเรียน   ประจำวัน"&amp;IFERROR(CHOOSE(WEEKDAY($M$6,2),"จันทร์","อังคาร","พุธ","พฤหัสบดี","ศุกร์","เสาร์","อาทิตย์"),"")&amp;"ที่ "&amp;$K$3&amp;" "&amp;$K$4&amp;" "&amp;IFERROR(YEAR($M$6)+543,"")</f>
        <v/>
      </c>
      <c r="C1" s="236" t="n"/>
      <c r="D1" s="236" t="n"/>
      <c r="E1" s="236" t="n"/>
      <c r="F1" s="236" t="n"/>
      <c r="G1" s="236" t="n"/>
      <c r="H1" s="236" t="n"/>
      <c r="J1" s="237" t="inlineStr">
        <is>
          <t>เลือกวันที่</t>
        </is>
      </c>
      <c r="M1">
        <f>IFERROR(MATCH($K$4,{"พฤษภาคม","มิถุนายน","กรกฎาคม","สิงหาคม","กันยายน","ตุลาคม","พฤศจิกายน","ธันวาคม","มกราคม","กุมภาพันธ์","มีนาคม"},0),1)</f>
        <v/>
      </c>
    </row>
    <row r="2">
      <c r="A2" s="236" t="n"/>
      <c r="B2" s="23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36" t="n"/>
      <c r="D2" s="236" t="n"/>
      <c r="E2" s="236" t="n"/>
      <c r="F2" s="236" t="n"/>
      <c r="G2" s="236" t="n"/>
      <c r="H2" s="236" t="n"/>
      <c r="M2">
        <f>IF(M1&lt;=6,1,2)</f>
        <v/>
      </c>
    </row>
    <row r="3">
      <c r="J3" s="239" t="inlineStr">
        <is>
          <t>วันที่</t>
        </is>
      </c>
      <c r="K3" s="240" t="n">
        <v>1</v>
      </c>
      <c r="M3">
        <f>IF(M2=1,M1-1,M1-7)</f>
        <v/>
      </c>
    </row>
    <row r="4">
      <c r="J4" s="239" t="inlineStr">
        <is>
          <t>เดือน</t>
        </is>
      </c>
      <c r="K4" s="240" t="inlineStr">
        <is>
          <t>มิถุนายน</t>
        </is>
      </c>
      <c r="M4">
        <f>4+M3*34+$K$3-1</f>
        <v/>
      </c>
    </row>
    <row r="5">
      <c r="A5" s="228" t="inlineStr">
        <is>
          <t>เลขที่</t>
        </is>
      </c>
      <c r="B5" s="228" t="inlineStr">
        <is>
          <t>ชื่อ - สกุล (ชื่อเล่น)</t>
        </is>
      </c>
      <c r="C5" s="228" t="inlineStr">
        <is>
          <t>สถานะ</t>
        </is>
      </c>
      <c r="D5" s="228" t="inlineStr">
        <is>
          <t>เวลามา</t>
        </is>
      </c>
      <c r="E5" s="228" t="inlineStr">
        <is>
          <t>ลายมือชื่อผู้มาส่ง</t>
        </is>
      </c>
      <c r="F5" s="228" t="inlineStr">
        <is>
          <t>เวลากลับ</t>
        </is>
      </c>
      <c r="G5" s="228" t="inlineStr">
        <is>
          <t>ลายมือชื่อผู้มารับ</t>
        </is>
      </c>
      <c r="H5" s="228" t="inlineStr">
        <is>
          <t>ผู้มีสิทธิ์รับ / ⚠ ข้อควรระวัง</t>
        </is>
      </c>
      <c r="M5">
        <f>"'มาเรียน-ภ"&amp;M2&amp;"'!$A$1:$HA$23"</f>
        <v/>
      </c>
    </row>
    <row r="6">
      <c r="J6" s="241" t="inlineStr">
        <is>
          <t>เลือกวันที่และเดือน แล้วกด Ctrl + P</t>
        </is>
      </c>
      <c r="M6">
        <f>IFERROR(DATE(IF(M1&lt;=8,'ข้อมูลโรงเรียน'!$C$12-543,'ข้อมูลโรงเรียน'!$C$12-542),MATCH($K$4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,$K$3),"")</f>
        <v/>
      </c>
    </row>
    <row r="7">
      <c r="J7" s="241" t="inlineStr">
        <is>
          <t>พิมพ์ไว้ให้ผู้ปกครองลงชื่อ</t>
        </is>
      </c>
    </row>
    <row r="8">
      <c r="J8" s="241" t="inlineStr">
        <is>
          <t>ช่อง “สถานะ” ดึงจากบันทึกการมาเรียน</t>
        </is>
      </c>
    </row>
    <row r="9" ht="21" customHeight="1">
      <c r="A9" s="157" t="n">
        <v>1</v>
      </c>
      <c r="B9" s="242">
        <f>IF('ข้อมูลนักเรียน'!T9="","",'ข้อมูลนักเรียน'!T9&amp;IF('ข้อมูลนักเรียน'!G9="",""," ("&amp;'ข้อมูลนักเรียน'!G9&amp;")"))</f>
        <v/>
      </c>
      <c r="C9" s="243">
        <f>IF(B9="","",IFERROR(CHOOSE(MATCH(INDEX(INDIRECT($M$5),9,$M$4)&amp;"",{"ล","ป","ข"},0),"ลา","ป่วย","ขาด"),""))</f>
        <v/>
      </c>
      <c r="D9" s="244" t="n"/>
      <c r="E9" s="244" t="n"/>
      <c r="F9" s="244" t="n"/>
      <c r="G9" s="244" t="n"/>
      <c r="H9" s="245">
        <f>IF(B9="","",TRIM(IF('ผู้รับ-ส่ง'!O9="","","⚠ "&amp;'ผู้รับ-ส่ง'!O9&amp;"  ")&amp;IF('ข้อมูลนักเรียน'!M9="","","แพ้/โรค: "&amp;'ข้อมูลนักเรียน'!M9&amp;"  ")&amp;'ผู้รับ-ส่ง'!R9))</f>
        <v/>
      </c>
      <c r="J9" s="241" t="inlineStr">
        <is>
          <t>(ถ้าบันทึกไว้แล้ว)</t>
        </is>
      </c>
    </row>
    <row r="10" ht="21" customHeight="1">
      <c r="A10" s="157" t="n">
        <v>2</v>
      </c>
      <c r="B10" s="242">
        <f>IF('ข้อมูลนักเรียน'!T10="","",'ข้อมูลนักเรียน'!T10&amp;IF('ข้อมูลนักเรียน'!G10="",""," ("&amp;'ข้อมูลนักเรียน'!G10&amp;")"))</f>
        <v/>
      </c>
      <c r="C10" s="243">
        <f>IF(B10="","",IFERROR(CHOOSE(MATCH(INDEX(INDIRECT($M$5),10,$M$4)&amp;"",{"ล","ป","ข"},0),"ลา","ป่วย","ขาด"),""))</f>
        <v/>
      </c>
      <c r="D10" s="244" t="n"/>
      <c r="E10" s="244" t="n"/>
      <c r="F10" s="244" t="n"/>
      <c r="G10" s="244" t="n"/>
      <c r="H10" s="245">
        <f>IF(B10="","",TRIM(IF('ผู้รับ-ส่ง'!O10="","","⚠ "&amp;'ผู้รับ-ส่ง'!O10&amp;"  ")&amp;IF('ข้อมูลนักเรียน'!M10="","","แพ้/โรค: "&amp;'ข้อมูลนักเรียน'!M10&amp;"  ")&amp;'ผู้รับ-ส่ง'!R10))</f>
        <v/>
      </c>
    </row>
    <row r="11" ht="21" customHeight="1">
      <c r="A11" s="157" t="n">
        <v>3</v>
      </c>
      <c r="B11" s="242">
        <f>IF('ข้อมูลนักเรียน'!T11="","",'ข้อมูลนักเรียน'!T11&amp;IF('ข้อมูลนักเรียน'!G11="",""," ("&amp;'ข้อมูลนักเรียน'!G11&amp;")"))</f>
        <v/>
      </c>
      <c r="C11" s="243">
        <f>IF(B11="","",IFERROR(CHOOSE(MATCH(INDEX(INDIRECT($M$5),11,$M$4)&amp;"",{"ล","ป","ข"},0),"ลา","ป่วย","ขาด"),""))</f>
        <v/>
      </c>
      <c r="D11" s="244" t="n"/>
      <c r="E11" s="244" t="n"/>
      <c r="F11" s="244" t="n"/>
      <c r="G11" s="244" t="n"/>
      <c r="H11" s="245">
        <f>IF(B11="","",TRIM(IF('ผู้รับ-ส่ง'!O11="","","⚠ "&amp;'ผู้รับ-ส่ง'!O11&amp;"  ")&amp;IF('ข้อมูลนักเรียน'!M11="","","แพ้/โรค: "&amp;'ข้อมูลนักเรียน'!M11&amp;"  ")&amp;'ผู้รับ-ส่ง'!R11))</f>
        <v/>
      </c>
    </row>
    <row r="12" ht="21" customHeight="1">
      <c r="A12" s="157" t="n">
        <v>4</v>
      </c>
      <c r="B12" s="242">
        <f>IF('ข้อมูลนักเรียน'!T12="","",'ข้อมูลนักเรียน'!T12&amp;IF('ข้อมูลนักเรียน'!G12="",""," ("&amp;'ข้อมูลนักเรียน'!G12&amp;")"))</f>
        <v/>
      </c>
      <c r="C12" s="243">
        <f>IF(B12="","",IFERROR(CHOOSE(MATCH(INDEX(INDIRECT($M$5),12,$M$4)&amp;"",{"ล","ป","ข"},0),"ลา","ป่วย","ขาด"),""))</f>
        <v/>
      </c>
      <c r="D12" s="244" t="n"/>
      <c r="E12" s="244" t="n"/>
      <c r="F12" s="244" t="n"/>
      <c r="G12" s="244" t="n"/>
      <c r="H12" s="245">
        <f>IF(B12="","",TRIM(IF('ผู้รับ-ส่ง'!O12="","","⚠ "&amp;'ผู้รับ-ส่ง'!O12&amp;"  ")&amp;IF('ข้อมูลนักเรียน'!M12="","","แพ้/โรค: "&amp;'ข้อมูลนักเรียน'!M12&amp;"  ")&amp;'ผู้รับ-ส่ง'!R12))</f>
        <v/>
      </c>
    </row>
    <row r="13" ht="21" customHeight="1">
      <c r="A13" s="157" t="n">
        <v>5</v>
      </c>
      <c r="B13" s="242">
        <f>IF('ข้อมูลนักเรียน'!T13="","",'ข้อมูลนักเรียน'!T13&amp;IF('ข้อมูลนักเรียน'!G13="",""," ("&amp;'ข้อมูลนักเรียน'!G13&amp;")"))</f>
        <v/>
      </c>
      <c r="C13" s="243">
        <f>IF(B13="","",IFERROR(CHOOSE(MATCH(INDEX(INDIRECT($M$5),13,$M$4)&amp;"",{"ล","ป","ข"},0),"ลา","ป่วย","ขาด"),""))</f>
        <v/>
      </c>
      <c r="D13" s="244" t="n"/>
      <c r="E13" s="244" t="n"/>
      <c r="F13" s="244" t="n"/>
      <c r="G13" s="244" t="n"/>
      <c r="H13" s="245">
        <f>IF(B13="","",TRIM(IF('ผู้รับ-ส่ง'!O13="","","⚠ "&amp;'ผู้รับ-ส่ง'!O13&amp;"  ")&amp;IF('ข้อมูลนักเรียน'!M13="","","แพ้/โรค: "&amp;'ข้อมูลนักเรียน'!M13&amp;"  ")&amp;'ผู้รับ-ส่ง'!R13))</f>
        <v/>
      </c>
    </row>
    <row r="14"/>
    <row r="15">
      <c r="B15" s="246" t="inlineStr">
        <is>
          <t>ลงชื่อ ........................................................ ครูเวรรับ-ส่ง</t>
        </is>
      </c>
      <c r="F15" s="246" t="inlineStr">
        <is>
          <t>ลงชื่อ ........................................................ ครูประจำชั้น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8">
    <mergeCell ref="B5:B8"/>
    <mergeCell ref="C5:C8"/>
    <mergeCell ref="A5:A8"/>
    <mergeCell ref="E5:E8"/>
    <mergeCell ref="H5:H8"/>
    <mergeCell ref="F5:F8"/>
    <mergeCell ref="D5:D8"/>
    <mergeCell ref="G5:G8"/>
  </mergeCells>
  <conditionalFormatting sqref="A9:H13">
    <cfRule type="expression" priority="1" dxfId="3">
      <formula>$C9&lt;&gt;""</formula>
    </cfRule>
  </conditionalFormatting>
  <conditionalFormatting sqref="H9:H13">
    <cfRule type="expression" priority="2" dxfId="4">
      <formula>LEFT(H9,1)="⚠"</formula>
    </cfRule>
  </conditionalFormatting>
  <dataValidations count="2">
    <dataValidation sqref="K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K4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"พฤษภาคม,มิถุนายน,กรกฎาคม,สิงหาคม,กันยายน,ตุลาคม,พฤศจิกายน,ธันวาคม,มกราคม,กุมภาพันธ์,มีนาคม"</formula1>
    </dataValidation>
  </dataValidations>
  <hyperlinks>
    <hyperlink ref="A1" location="'หน้าหลัก'!A1" display="🏠"/>
  </hyperlinks>
  <pageMargins left="0.3" right="0.3" top="0.45" bottom="0.45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tabColor rgb="00FF9797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247" t="inlineStr">
        <is>
          <t>🏠</t>
        </is>
      </c>
      <c r="B1" s="248" t="n"/>
      <c r="C1" s="248" t="n"/>
      <c r="D1" s="248" t="n"/>
      <c r="E1" s="248" t="n"/>
      <c r="F1" s="248" t="n"/>
      <c r="G1" s="248" t="n"/>
      <c r="H1" s="248" t="n"/>
      <c r="I1" s="248" t="n"/>
      <c r="J1" s="248" t="n"/>
      <c r="K1" s="248" t="n"/>
      <c r="L1" s="248" t="n"/>
      <c r="M1" s="248" t="n"/>
      <c r="N1" s="248" t="n"/>
      <c r="O1" s="248" t="n"/>
      <c r="P1" s="248" t="n"/>
      <c r="Q1" s="248" t="n"/>
      <c r="R1" s="248" t="n"/>
      <c r="S1" s="248" t="n"/>
      <c r="T1" s="248" t="n"/>
      <c r="U1" s="248" t="n"/>
      <c r="V1" s="248" t="n"/>
      <c r="W1" s="248" t="n"/>
      <c r="X1" s="248" t="n"/>
      <c r="Y1" s="248" t="n"/>
      <c r="Z1" s="248" t="n"/>
      <c r="AA1" s="248" t="n"/>
      <c r="AB1" s="248" t="n"/>
      <c r="AC1" s="248" t="n"/>
      <c r="AD1" s="248" t="n"/>
      <c r="AE1" s="248" t="n"/>
      <c r="AF1" s="248" t="n"/>
      <c r="AG1" s="248" t="n"/>
      <c r="AH1" s="248" t="n"/>
      <c r="AI1" s="248" t="n"/>
      <c r="AJ1" s="248" t="n"/>
      <c r="AK1" s="248" t="n"/>
      <c r="AL1" s="248" t="n"/>
      <c r="AM1" s="248" t="n"/>
      <c r="AN1" s="248" t="n"/>
      <c r="AO1" s="248" t="n"/>
      <c r="AP1" s="248" t="n"/>
      <c r="AQ1" s="248" t="n"/>
      <c r="AR1" s="248" t="n"/>
      <c r="AS1" s="248" t="n"/>
      <c r="AT1" s="248" t="n"/>
      <c r="AU1" s="248" t="n"/>
      <c r="AV1" s="248" t="n"/>
      <c r="AW1" s="248" t="n"/>
      <c r="AX1" s="248" t="n"/>
      <c r="AY1" s="248" t="n"/>
      <c r="AZ1" s="248" t="n"/>
      <c r="BA1" s="248" t="n"/>
      <c r="BB1" s="248" t="n"/>
      <c r="BC1" s="248" t="n"/>
      <c r="BD1" s="248" t="n"/>
      <c r="BE1" s="248" t="n"/>
      <c r="BF1" s="248" t="n"/>
      <c r="BG1" s="248" t="n"/>
      <c r="BH1" s="248" t="n"/>
      <c r="BI1" s="248" t="n"/>
      <c r="BJ1" s="248" t="n"/>
      <c r="BK1" s="248" t="n"/>
      <c r="BL1" s="248" t="n"/>
      <c r="BM1" s="248" t="n"/>
      <c r="BN1" s="248" t="n"/>
      <c r="BO1" s="248" t="n"/>
      <c r="BP1" s="248" t="n"/>
      <c r="BQ1" s="248" t="n"/>
      <c r="BR1" s="248" t="n"/>
      <c r="BS1" s="248" t="n"/>
      <c r="BT1" s="248" t="n"/>
      <c r="BU1" s="248" t="n"/>
      <c r="BV1" s="248" t="n"/>
      <c r="BW1" s="248" t="n"/>
      <c r="BX1" s="248" t="n"/>
      <c r="BY1" s="248" t="n"/>
      <c r="BZ1" s="248" t="n"/>
      <c r="CA1" s="248" t="n"/>
      <c r="CB1" s="248" t="n"/>
      <c r="CC1" s="248" t="n"/>
      <c r="CD1" s="248" t="n"/>
      <c r="CE1" s="248" t="n"/>
      <c r="CF1" s="248" t="n"/>
      <c r="CG1" s="248" t="n"/>
      <c r="CH1" s="248" t="n"/>
      <c r="CI1" s="248" t="n"/>
      <c r="CJ1" s="248" t="n"/>
      <c r="CK1" s="248" t="n"/>
      <c r="CL1" s="248" t="n"/>
      <c r="CM1" s="248" t="n"/>
      <c r="CN1" s="248" t="n"/>
      <c r="CO1" s="248" t="n"/>
      <c r="CP1" s="248" t="n"/>
      <c r="CQ1" s="248" t="n"/>
      <c r="CR1" s="248" t="n"/>
      <c r="CS1" s="248" t="n"/>
      <c r="CT1" s="248" t="n"/>
      <c r="CU1" s="248" t="n"/>
      <c r="CV1" s="248" t="n"/>
      <c r="CW1" s="248" t="n"/>
      <c r="CX1" s="248" t="n"/>
      <c r="CY1" s="248" t="n"/>
      <c r="CZ1" s="248" t="n"/>
      <c r="DA1" s="248" t="n"/>
      <c r="DB1" s="248" t="n"/>
      <c r="DC1" s="248" t="n"/>
      <c r="DD1" s="248" t="n"/>
      <c r="DE1" s="248" t="n"/>
      <c r="DF1" s="248" t="n"/>
      <c r="DG1" s="248" t="n"/>
      <c r="DH1" s="248" t="n"/>
      <c r="DI1" s="248" t="n"/>
      <c r="DJ1" s="248" t="n"/>
      <c r="DK1" s="248" t="n"/>
      <c r="DL1" s="248" t="n"/>
      <c r="DM1" s="248" t="n"/>
      <c r="DN1" s="248" t="n"/>
      <c r="DO1" s="248" t="n"/>
      <c r="DP1" s="248" t="n"/>
      <c r="DQ1" s="248" t="n"/>
      <c r="DR1" s="248" t="n"/>
      <c r="DS1" s="248" t="n"/>
      <c r="DT1" s="248" t="n"/>
      <c r="DU1" s="248" t="n"/>
      <c r="DV1" s="248" t="n"/>
      <c r="DW1" s="248" t="n"/>
      <c r="DX1" s="248" t="n"/>
      <c r="DY1" s="248" t="n"/>
      <c r="DZ1" s="248" t="n"/>
      <c r="EA1" s="248" t="n"/>
      <c r="EB1" s="248" t="n"/>
      <c r="EC1" s="248" t="n"/>
      <c r="ED1" s="248" t="n"/>
      <c r="EE1" s="248" t="n"/>
      <c r="EF1" s="248" t="n"/>
      <c r="EG1" s="248" t="n"/>
      <c r="EH1" s="248" t="n"/>
      <c r="EI1" s="248" t="n"/>
      <c r="EJ1" s="248" t="n"/>
      <c r="EK1" s="248" t="n"/>
      <c r="EL1" s="248" t="n"/>
      <c r="EM1" s="248" t="n"/>
      <c r="EN1" s="248" t="n"/>
      <c r="EO1" s="248" t="n"/>
      <c r="EP1" s="248" t="n"/>
      <c r="EQ1" s="248" t="n"/>
      <c r="ER1" s="248" t="n"/>
      <c r="ES1" s="248" t="n"/>
      <c r="ET1" s="248" t="n"/>
      <c r="EU1" s="248" t="n"/>
      <c r="EV1" s="248" t="n"/>
      <c r="EW1" s="248" t="n"/>
      <c r="EX1" s="248" t="n"/>
      <c r="EY1" s="248" t="n"/>
      <c r="EZ1" s="248" t="n"/>
      <c r="FA1" s="248" t="n"/>
      <c r="FB1" s="248" t="n"/>
      <c r="FC1" s="248" t="n"/>
      <c r="FD1" s="248" t="n"/>
      <c r="FE1" s="248" t="n"/>
      <c r="FF1" s="248" t="n"/>
      <c r="FG1" s="248" t="n"/>
      <c r="FH1" s="248" t="n"/>
      <c r="FI1" s="248" t="n"/>
      <c r="FJ1" s="248" t="n"/>
      <c r="FK1" s="248" t="n"/>
      <c r="FL1" s="248" t="n"/>
      <c r="FM1" s="248" t="n"/>
      <c r="FN1" s="248" t="n"/>
      <c r="FO1" s="248" t="n"/>
      <c r="FP1" s="248" t="n"/>
      <c r="FQ1" s="248" t="n"/>
      <c r="FR1" s="248" t="n"/>
      <c r="FS1" s="248" t="n"/>
      <c r="FT1" s="248" t="n"/>
      <c r="FU1" s="248" t="n"/>
      <c r="FV1" s="248" t="n"/>
      <c r="FW1" s="248" t="n"/>
      <c r="FX1" s="248" t="n"/>
      <c r="FY1" s="248" t="n"/>
      <c r="FZ1" s="248" t="n"/>
      <c r="GA1" s="248" t="n"/>
      <c r="GB1" s="248" t="n"/>
      <c r="GC1" s="248" t="n"/>
      <c r="GD1" s="248" t="n"/>
      <c r="GE1" s="248" t="n"/>
      <c r="GF1" s="248" t="n"/>
      <c r="GG1" s="248" t="n"/>
      <c r="GH1" s="248" t="n"/>
      <c r="GI1" s="248" t="n"/>
      <c r="GJ1" s="248" t="n"/>
      <c r="GK1" s="248" t="n"/>
      <c r="GL1" s="248" t="n"/>
      <c r="GM1" s="248" t="n"/>
      <c r="GN1" s="248" t="n"/>
      <c r="GO1" s="248" t="n"/>
      <c r="GP1" s="248" t="n"/>
      <c r="GQ1" s="248" t="n"/>
      <c r="GR1" s="248" t="n"/>
      <c r="GS1" s="248" t="n"/>
      <c r="GT1" s="248" t="n"/>
      <c r="GU1" s="248" t="n"/>
      <c r="GV1" s="248" t="n"/>
      <c r="GW1" s="248" t="n"/>
      <c r="GX1" s="248" t="n"/>
      <c r="GY1" s="248" t="n"/>
    </row>
    <row r="2" ht="20" customHeight="1">
      <c r="A2" s="249" t="inlineStr">
        <is>
          <t>หน้าหลัก</t>
        </is>
      </c>
      <c r="B2" s="25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51" t="n"/>
      <c r="D2" s="251" t="n"/>
      <c r="E2" s="251" t="n"/>
      <c r="F2" s="251" t="n"/>
      <c r="G2" s="251" t="n"/>
      <c r="H2" s="251" t="n"/>
      <c r="I2" s="251" t="n"/>
      <c r="J2" s="251" t="n"/>
      <c r="K2" s="251" t="n"/>
      <c r="L2" s="251" t="n"/>
      <c r="M2" s="251" t="n"/>
      <c r="N2" s="251" t="n"/>
      <c r="O2" s="251" t="n"/>
      <c r="P2" s="251" t="n"/>
      <c r="Q2" s="251" t="n"/>
      <c r="R2" s="251" t="n"/>
      <c r="S2" s="251" t="n"/>
      <c r="T2" s="251" t="n"/>
      <c r="U2" s="251" t="n"/>
      <c r="V2" s="251" t="n"/>
      <c r="W2" s="251" t="n"/>
      <c r="X2" s="251" t="n"/>
      <c r="Y2" s="251" t="n"/>
      <c r="Z2" s="251" t="n"/>
      <c r="AA2" s="251" t="n"/>
      <c r="AB2" s="251" t="n"/>
      <c r="AC2" s="251" t="n"/>
      <c r="AD2" s="251" t="n"/>
      <c r="AE2" s="251" t="n"/>
      <c r="AF2" s="251" t="n"/>
      <c r="AG2" s="251" t="n"/>
      <c r="AH2" s="251" t="n"/>
      <c r="AI2" s="251" t="n"/>
      <c r="AJ2" s="251" t="n"/>
      <c r="AK2" s="251" t="n"/>
      <c r="AL2" s="251" t="n"/>
      <c r="AM2" s="251" t="n"/>
      <c r="AN2" s="251" t="n"/>
      <c r="AO2" s="251" t="n"/>
      <c r="AP2" s="251" t="n"/>
      <c r="AQ2" s="251" t="n"/>
      <c r="AR2" s="251" t="n"/>
      <c r="AS2" s="251" t="n"/>
      <c r="AT2" s="251" t="n"/>
      <c r="AU2" s="251" t="n"/>
      <c r="AV2" s="251" t="n"/>
      <c r="AW2" s="251" t="n"/>
      <c r="AX2" s="251" t="n"/>
      <c r="AY2" s="251" t="n"/>
      <c r="AZ2" s="251" t="n"/>
      <c r="BA2" s="251" t="n"/>
      <c r="BB2" s="251" t="n"/>
      <c r="BC2" s="251" t="n"/>
      <c r="BD2" s="251" t="n"/>
      <c r="BE2" s="251" t="n"/>
      <c r="BF2" s="251" t="n"/>
      <c r="BG2" s="251" t="n"/>
      <c r="BH2" s="251" t="n"/>
      <c r="BI2" s="251" t="n"/>
      <c r="BJ2" s="251" t="n"/>
      <c r="BK2" s="251" t="n"/>
      <c r="BL2" s="251" t="n"/>
      <c r="BM2" s="251" t="n"/>
      <c r="BN2" s="251" t="n"/>
      <c r="BO2" s="251" t="n"/>
      <c r="BP2" s="251" t="n"/>
      <c r="BQ2" s="251" t="n"/>
      <c r="BR2" s="251" t="n"/>
      <c r="BS2" s="251" t="n"/>
      <c r="BT2" s="251" t="n"/>
      <c r="BU2" s="251" t="n"/>
      <c r="BV2" s="251" t="n"/>
      <c r="BW2" s="251" t="n"/>
      <c r="BX2" s="251" t="n"/>
      <c r="BY2" s="251" t="n"/>
      <c r="BZ2" s="251" t="n"/>
      <c r="CA2" s="251" t="n"/>
      <c r="CB2" s="251" t="n"/>
      <c r="CC2" s="251" t="n"/>
      <c r="CD2" s="251" t="n"/>
      <c r="CE2" s="251" t="n"/>
      <c r="CF2" s="251" t="n"/>
      <c r="CG2" s="251" t="n"/>
      <c r="CH2" s="251" t="n"/>
      <c r="CI2" s="251" t="n"/>
      <c r="CJ2" s="251" t="n"/>
      <c r="CK2" s="251" t="n"/>
      <c r="CL2" s="251" t="n"/>
      <c r="CM2" s="251" t="n"/>
      <c r="CN2" s="251" t="n"/>
      <c r="CO2" s="251" t="n"/>
      <c r="CP2" s="251" t="n"/>
      <c r="CQ2" s="251" t="n"/>
      <c r="CR2" s="251" t="n"/>
      <c r="CS2" s="251" t="n"/>
      <c r="CT2" s="251" t="n"/>
      <c r="CU2" s="251" t="n"/>
      <c r="CV2" s="251" t="n"/>
      <c r="CW2" s="251" t="n"/>
      <c r="CX2" s="251" t="n"/>
      <c r="CY2" s="251" t="n"/>
      <c r="CZ2" s="251" t="n"/>
      <c r="DA2" s="251" t="n"/>
      <c r="DB2" s="251" t="n"/>
      <c r="DC2" s="251" t="n"/>
      <c r="DD2" s="251" t="n"/>
      <c r="DE2" s="251" t="n"/>
      <c r="DF2" s="251" t="n"/>
      <c r="DG2" s="251" t="n"/>
      <c r="DH2" s="251" t="n"/>
      <c r="DI2" s="251" t="n"/>
      <c r="DJ2" s="251" t="n"/>
      <c r="DK2" s="251" t="n"/>
      <c r="DL2" s="251" t="n"/>
      <c r="DM2" s="251" t="n"/>
      <c r="DN2" s="251" t="n"/>
      <c r="DO2" s="251" t="n"/>
      <c r="DP2" s="251" t="n"/>
      <c r="DQ2" s="251" t="n"/>
      <c r="DR2" s="251" t="n"/>
      <c r="DS2" s="251" t="n"/>
      <c r="DT2" s="251" t="n"/>
      <c r="DU2" s="251" t="n"/>
      <c r="DV2" s="251" t="n"/>
      <c r="DW2" s="251" t="n"/>
      <c r="DX2" s="251" t="n"/>
      <c r="DY2" s="251" t="n"/>
      <c r="DZ2" s="251" t="n"/>
      <c r="EA2" s="251" t="n"/>
      <c r="EB2" s="251" t="n"/>
      <c r="EC2" s="251" t="n"/>
      <c r="ED2" s="251" t="n"/>
      <c r="EE2" s="251" t="n"/>
      <c r="EF2" s="251" t="n"/>
      <c r="EG2" s="251" t="n"/>
      <c r="EH2" s="251" t="n"/>
      <c r="EI2" s="251" t="n"/>
      <c r="EJ2" s="251" t="n"/>
      <c r="EK2" s="251" t="n"/>
      <c r="EL2" s="251" t="n"/>
      <c r="EM2" s="251" t="n"/>
      <c r="EN2" s="251" t="n"/>
      <c r="EO2" s="251" t="n"/>
      <c r="EP2" s="251" t="n"/>
      <c r="EQ2" s="251" t="n"/>
      <c r="ER2" s="251" t="n"/>
      <c r="ES2" s="251" t="n"/>
      <c r="ET2" s="251" t="n"/>
      <c r="EU2" s="251" t="n"/>
      <c r="EV2" s="251" t="n"/>
      <c r="EW2" s="251" t="n"/>
      <c r="EX2" s="251" t="n"/>
      <c r="EY2" s="251" t="n"/>
      <c r="EZ2" s="251" t="n"/>
      <c r="FA2" s="251" t="n"/>
      <c r="FB2" s="251" t="n"/>
      <c r="FC2" s="251" t="n"/>
      <c r="FD2" s="251" t="n"/>
      <c r="FE2" s="251" t="n"/>
      <c r="FF2" s="251" t="n"/>
      <c r="FG2" s="251" t="n"/>
      <c r="FH2" s="251" t="n"/>
      <c r="FI2" s="251" t="n"/>
      <c r="FJ2" s="251" t="n"/>
      <c r="FK2" s="251" t="n"/>
      <c r="FL2" s="251" t="n"/>
      <c r="FM2" s="251" t="n"/>
      <c r="FN2" s="251" t="n"/>
      <c r="FO2" s="251" t="n"/>
      <c r="FP2" s="251" t="n"/>
      <c r="FQ2" s="251" t="n"/>
      <c r="FR2" s="251" t="n"/>
      <c r="FS2" s="251" t="n"/>
      <c r="FT2" s="251" t="n"/>
      <c r="FU2" s="251" t="n"/>
      <c r="FV2" s="251" t="n"/>
      <c r="FW2" s="251" t="n"/>
      <c r="FX2" s="251" t="n"/>
      <c r="FY2" s="251" t="n"/>
      <c r="FZ2" s="251" t="n"/>
      <c r="GA2" s="251" t="n"/>
      <c r="GB2" s="251" t="n"/>
      <c r="GC2" s="251" t="n"/>
      <c r="GD2" s="251" t="n"/>
      <c r="GE2" s="251" t="n"/>
      <c r="GF2" s="251" t="n"/>
      <c r="GG2" s="251" t="n"/>
      <c r="GH2" s="251" t="n"/>
      <c r="GI2" s="251" t="n"/>
      <c r="GJ2" s="251" t="n"/>
      <c r="GK2" s="251" t="n"/>
      <c r="GL2" s="251" t="n"/>
      <c r="GM2" s="251" t="n"/>
      <c r="GN2" s="251" t="n"/>
      <c r="GO2" s="251" t="n"/>
      <c r="GP2" s="251" t="n"/>
      <c r="GQ2" s="251" t="n"/>
      <c r="GR2" s="251" t="n"/>
      <c r="GS2" s="251" t="n"/>
      <c r="GT2" s="251" t="n"/>
      <c r="GU2" s="251" t="n"/>
      <c r="GV2" s="251" t="n"/>
      <c r="GW2" s="251" t="n"/>
      <c r="GX2" s="251" t="n"/>
      <c r="GY2" s="251" t="n"/>
    </row>
    <row r="3" ht="18" customHeight="1">
      <c r="B3" s="252" t="inlineStr">
        <is>
          <t>รหัส   ม = มา     ส = สาย     ล = ลา     ป = ป่วย     ข = ขาด      (พิมพ์ด้วยแป้นภาษาไทยได้เลย)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253" t="inlineStr">
        <is>
          <t>เลขที่</t>
        </is>
      </c>
      <c r="B5" s="253" t="inlineStr">
        <is>
          <t>ชื่อ - สกุล</t>
        </is>
      </c>
      <c r="C5" s="254" t="inlineStr">
        <is>
          <t>ร้อยละ
มาเรียน
ทั้งภาค</t>
        </is>
      </c>
      <c r="D5" s="255">
        <f>"เดือนพฤษภาคม  พ.ศ. "&amp;('ข้อมูลโรงเรียน'!$C$12-543+543)</f>
        <v/>
      </c>
      <c r="AI5" s="256" t="inlineStr">
        <is>
          <t>สรุป พ.ค.</t>
        </is>
      </c>
      <c r="AL5" s="255">
        <f>"เดือนมิถุนายน  พ.ศ. "&amp;('ข้อมูลโรงเรียน'!$C$12-543+543)</f>
        <v/>
      </c>
      <c r="BQ5" s="256" t="inlineStr">
        <is>
          <t>สรุป มิ.ย.</t>
        </is>
      </c>
      <c r="BT5" s="255">
        <f>"เดือนกรกฎาคม  พ.ศ. "&amp;('ข้อมูลโรงเรียน'!$C$12-543+543)</f>
        <v/>
      </c>
      <c r="CY5" s="256" t="inlineStr">
        <is>
          <t>สรุป ก.ค.</t>
        </is>
      </c>
      <c r="DB5" s="255">
        <f>"เดือนสิงหาคม  พ.ศ. "&amp;('ข้อมูลโรงเรียน'!$C$12-543+543)</f>
        <v/>
      </c>
      <c r="EG5" s="256" t="inlineStr">
        <is>
          <t>สรุป ส.ค.</t>
        </is>
      </c>
      <c r="EJ5" s="255">
        <f>"เดือนกันยายน  พ.ศ. "&amp;('ข้อมูลโรงเรียน'!$C$12-543+543)</f>
        <v/>
      </c>
      <c r="FO5" s="256" t="inlineStr">
        <is>
          <t>สรุป ก.ย.</t>
        </is>
      </c>
      <c r="FR5" s="255">
        <f>"เดือนตุลาคม  พ.ศ. "&amp;('ข้อมูลโรงเรียน'!$C$12-543+543)</f>
        <v/>
      </c>
      <c r="GW5" s="256" t="inlineStr">
        <is>
          <t>สรุป ต.ค.</t>
        </is>
      </c>
    </row>
    <row r="6">
      <c r="D6" s="257">
        <f>IF('ปฏิทิน'!D1="","",DAY('ปฏิทิน'!D1))</f>
        <v/>
      </c>
      <c r="E6" s="254">
        <f>IF('ปฏิทิน'!E1="","",DAY('ปฏิทิน'!E1))</f>
        <v/>
      </c>
      <c r="F6" s="254">
        <f>IF('ปฏิทิน'!F1="","",DAY('ปฏิทิน'!F1))</f>
        <v/>
      </c>
      <c r="G6" s="254">
        <f>IF('ปฏิทิน'!G1="","",DAY('ปฏิทิน'!G1))</f>
        <v/>
      </c>
      <c r="H6" s="254">
        <f>IF('ปฏิทิน'!H1="","",DAY('ปฏิทิน'!H1))</f>
        <v/>
      </c>
      <c r="I6" s="254">
        <f>IF('ปฏิทิน'!I1="","",DAY('ปฏิทิน'!I1))</f>
        <v/>
      </c>
      <c r="J6" s="254">
        <f>IF('ปฏิทิน'!J1="","",DAY('ปฏิทิน'!J1))</f>
        <v/>
      </c>
      <c r="K6" s="254">
        <f>IF('ปฏิทิน'!K1="","",DAY('ปฏิทิน'!K1))</f>
        <v/>
      </c>
      <c r="L6" s="254">
        <f>IF('ปฏิทิน'!L1="","",DAY('ปฏิทิน'!L1))</f>
        <v/>
      </c>
      <c r="M6" s="254">
        <f>IF('ปฏิทิน'!M1="","",DAY('ปฏิทิน'!M1))</f>
        <v/>
      </c>
      <c r="N6" s="254">
        <f>IF('ปฏิทิน'!N1="","",DAY('ปฏิทิน'!N1))</f>
        <v/>
      </c>
      <c r="O6" s="254">
        <f>IF('ปฏิทิน'!O1="","",DAY('ปฏิทิน'!O1))</f>
        <v/>
      </c>
      <c r="P6" s="254">
        <f>IF('ปฏิทิน'!P1="","",DAY('ปฏิทิน'!P1))</f>
        <v/>
      </c>
      <c r="Q6" s="254">
        <f>IF('ปฏิทิน'!Q1="","",DAY('ปฏิทิน'!Q1))</f>
        <v/>
      </c>
      <c r="R6" s="254">
        <f>IF('ปฏิทิน'!R1="","",DAY('ปฏิทิน'!R1))</f>
        <v/>
      </c>
      <c r="S6" s="254">
        <f>IF('ปฏิทิน'!S1="","",DAY('ปฏิทิน'!S1))</f>
        <v/>
      </c>
      <c r="T6" s="254">
        <f>IF('ปฏิทิน'!T1="","",DAY('ปฏิทิน'!T1))</f>
        <v/>
      </c>
      <c r="U6" s="254">
        <f>IF('ปฏิทิน'!U1="","",DAY('ปฏิทิน'!U1))</f>
        <v/>
      </c>
      <c r="V6" s="254">
        <f>IF('ปฏิทิน'!V1="","",DAY('ปฏิทิน'!V1))</f>
        <v/>
      </c>
      <c r="W6" s="254">
        <f>IF('ปฏิทิน'!W1="","",DAY('ปฏิทิน'!W1))</f>
        <v/>
      </c>
      <c r="X6" s="254">
        <f>IF('ปฏิทิน'!X1="","",DAY('ปฏิทิน'!X1))</f>
        <v/>
      </c>
      <c r="Y6" s="254">
        <f>IF('ปฏิทิน'!Y1="","",DAY('ปฏิทิน'!Y1))</f>
        <v/>
      </c>
      <c r="Z6" s="254">
        <f>IF('ปฏิทิน'!Z1="","",DAY('ปฏิทิน'!Z1))</f>
        <v/>
      </c>
      <c r="AA6" s="254">
        <f>IF('ปฏิทิน'!AA1="","",DAY('ปฏิทิน'!AA1))</f>
        <v/>
      </c>
      <c r="AB6" s="254">
        <f>IF('ปฏิทิน'!AB1="","",DAY('ปฏิทิน'!AB1))</f>
        <v/>
      </c>
      <c r="AC6" s="254">
        <f>IF('ปฏิทิน'!AC1="","",DAY('ปฏิทิน'!AC1))</f>
        <v/>
      </c>
      <c r="AD6" s="254">
        <f>IF('ปฏิทิน'!AD1="","",DAY('ปฏิทิน'!AD1))</f>
        <v/>
      </c>
      <c r="AE6" s="254">
        <f>IF('ปฏิทิน'!AE1="","",DAY('ปฏิทิน'!AE1))</f>
        <v/>
      </c>
      <c r="AF6" s="254">
        <f>IF('ปฏิทิน'!AF1="","",DAY('ปฏิทิน'!AF1))</f>
        <v/>
      </c>
      <c r="AG6" s="254">
        <f>IF('ปฏิทิน'!AG1="","",DAY('ปฏิทิน'!AG1))</f>
        <v/>
      </c>
      <c r="AH6" s="254">
        <f>IF('ปฏิทิน'!AH1="","",DAY('ปฏิทิน'!AH1))</f>
        <v/>
      </c>
      <c r="AI6" s="258" t="inlineStr">
        <is>
          <t>มา</t>
        </is>
      </c>
      <c r="AJ6" s="259" t="inlineStr">
        <is>
          <t>ลา
ป่วย</t>
        </is>
      </c>
      <c r="AK6" s="260" t="inlineStr">
        <is>
          <t>ขาด</t>
        </is>
      </c>
      <c r="AL6" s="257">
        <f>IF('ปฏิทิน'!AL1="","",DAY('ปฏิทิน'!AL1))</f>
        <v/>
      </c>
      <c r="AM6" s="254">
        <f>IF('ปฏิทิน'!AM1="","",DAY('ปฏิทิน'!AM1))</f>
        <v/>
      </c>
      <c r="AN6" s="254">
        <f>IF('ปฏิทิน'!AN1="","",DAY('ปฏิทิน'!AN1))</f>
        <v/>
      </c>
      <c r="AO6" s="254">
        <f>IF('ปฏิทิน'!AO1="","",DAY('ปฏิทิน'!AO1))</f>
        <v/>
      </c>
      <c r="AP6" s="254">
        <f>IF('ปฏิทิน'!AP1="","",DAY('ปฏิทิน'!AP1))</f>
        <v/>
      </c>
      <c r="AQ6" s="254">
        <f>IF('ปฏิทิน'!AQ1="","",DAY('ปฏิทิน'!AQ1))</f>
        <v/>
      </c>
      <c r="AR6" s="254">
        <f>IF('ปฏิทิน'!AR1="","",DAY('ปฏิทิน'!AR1))</f>
        <v/>
      </c>
      <c r="AS6" s="254">
        <f>IF('ปฏิทิน'!AS1="","",DAY('ปฏิทิน'!AS1))</f>
        <v/>
      </c>
      <c r="AT6" s="254">
        <f>IF('ปฏิทิน'!AT1="","",DAY('ปฏิทิน'!AT1))</f>
        <v/>
      </c>
      <c r="AU6" s="254">
        <f>IF('ปฏิทิน'!AU1="","",DAY('ปฏิทิน'!AU1))</f>
        <v/>
      </c>
      <c r="AV6" s="254">
        <f>IF('ปฏิทิน'!AV1="","",DAY('ปฏิทิน'!AV1))</f>
        <v/>
      </c>
      <c r="AW6" s="254">
        <f>IF('ปฏิทิน'!AW1="","",DAY('ปฏิทิน'!AW1))</f>
        <v/>
      </c>
      <c r="AX6" s="254">
        <f>IF('ปฏิทิน'!AX1="","",DAY('ปฏิทิน'!AX1))</f>
        <v/>
      </c>
      <c r="AY6" s="254">
        <f>IF('ปฏิทิน'!AY1="","",DAY('ปฏิทิน'!AY1))</f>
        <v/>
      </c>
      <c r="AZ6" s="254">
        <f>IF('ปฏิทิน'!AZ1="","",DAY('ปฏิทิน'!AZ1))</f>
        <v/>
      </c>
      <c r="BA6" s="254">
        <f>IF('ปฏิทิน'!BA1="","",DAY('ปฏิทิน'!BA1))</f>
        <v/>
      </c>
      <c r="BB6" s="254">
        <f>IF('ปฏิทิน'!BB1="","",DAY('ปฏิทิน'!BB1))</f>
        <v/>
      </c>
      <c r="BC6" s="254">
        <f>IF('ปฏิทิน'!BC1="","",DAY('ปฏิทิน'!BC1))</f>
        <v/>
      </c>
      <c r="BD6" s="254">
        <f>IF('ปฏิทิน'!BD1="","",DAY('ปฏิทิน'!BD1))</f>
        <v/>
      </c>
      <c r="BE6" s="254">
        <f>IF('ปฏิทิน'!BE1="","",DAY('ปฏิทิน'!BE1))</f>
        <v/>
      </c>
      <c r="BF6" s="254">
        <f>IF('ปฏิทิน'!BF1="","",DAY('ปฏิทิน'!BF1))</f>
        <v/>
      </c>
      <c r="BG6" s="254">
        <f>IF('ปฏิทิน'!BG1="","",DAY('ปฏิทิน'!BG1))</f>
        <v/>
      </c>
      <c r="BH6" s="254">
        <f>IF('ปฏิทิน'!BH1="","",DAY('ปฏิทิน'!BH1))</f>
        <v/>
      </c>
      <c r="BI6" s="254">
        <f>IF('ปฏิทิน'!BI1="","",DAY('ปฏิทิน'!BI1))</f>
        <v/>
      </c>
      <c r="BJ6" s="254">
        <f>IF('ปฏิทิน'!BJ1="","",DAY('ปฏิทิน'!BJ1))</f>
        <v/>
      </c>
      <c r="BK6" s="254">
        <f>IF('ปฏิทิน'!BK1="","",DAY('ปฏิทิน'!BK1))</f>
        <v/>
      </c>
      <c r="BL6" s="254">
        <f>IF('ปฏิทิน'!BL1="","",DAY('ปฏิทิน'!BL1))</f>
        <v/>
      </c>
      <c r="BM6" s="254">
        <f>IF('ปฏิทิน'!BM1="","",DAY('ปฏิทิน'!BM1))</f>
        <v/>
      </c>
      <c r="BN6" s="254">
        <f>IF('ปฏิทิน'!BN1="","",DAY('ปฏิทิน'!BN1))</f>
        <v/>
      </c>
      <c r="BO6" s="254">
        <f>IF('ปฏิทิน'!BO1="","",DAY('ปฏิทิน'!BO1))</f>
        <v/>
      </c>
      <c r="BP6" s="254">
        <f>IF('ปฏิทิน'!BP1="","",DAY('ปฏิทิน'!BP1))</f>
        <v/>
      </c>
      <c r="BQ6" s="258" t="inlineStr">
        <is>
          <t>มา</t>
        </is>
      </c>
      <c r="BR6" s="259" t="inlineStr">
        <is>
          <t>ลา
ป่วย</t>
        </is>
      </c>
      <c r="BS6" s="260" t="inlineStr">
        <is>
          <t>ขาด</t>
        </is>
      </c>
      <c r="BT6" s="257">
        <f>IF('ปฏิทิน'!BT1="","",DAY('ปฏิทิน'!BT1))</f>
        <v/>
      </c>
      <c r="BU6" s="254">
        <f>IF('ปฏิทิน'!BU1="","",DAY('ปฏิทิน'!BU1))</f>
        <v/>
      </c>
      <c r="BV6" s="254">
        <f>IF('ปฏิทิน'!BV1="","",DAY('ปฏิทิน'!BV1))</f>
        <v/>
      </c>
      <c r="BW6" s="254">
        <f>IF('ปฏิทิน'!BW1="","",DAY('ปฏิทิน'!BW1))</f>
        <v/>
      </c>
      <c r="BX6" s="254">
        <f>IF('ปฏิทิน'!BX1="","",DAY('ปฏิทิน'!BX1))</f>
        <v/>
      </c>
      <c r="BY6" s="254">
        <f>IF('ปฏิทิน'!BY1="","",DAY('ปฏิทิน'!BY1))</f>
        <v/>
      </c>
      <c r="BZ6" s="254">
        <f>IF('ปฏิทิน'!BZ1="","",DAY('ปฏิทิน'!BZ1))</f>
        <v/>
      </c>
      <c r="CA6" s="254">
        <f>IF('ปฏิทิน'!CA1="","",DAY('ปฏิทิน'!CA1))</f>
        <v/>
      </c>
      <c r="CB6" s="254">
        <f>IF('ปฏิทิน'!CB1="","",DAY('ปฏิทิน'!CB1))</f>
        <v/>
      </c>
      <c r="CC6" s="254">
        <f>IF('ปฏิทิน'!CC1="","",DAY('ปฏิทิน'!CC1))</f>
        <v/>
      </c>
      <c r="CD6" s="254">
        <f>IF('ปฏิทิน'!CD1="","",DAY('ปฏิทิน'!CD1))</f>
        <v/>
      </c>
      <c r="CE6" s="254">
        <f>IF('ปฏิทิน'!CE1="","",DAY('ปฏิทิน'!CE1))</f>
        <v/>
      </c>
      <c r="CF6" s="254">
        <f>IF('ปฏิทิน'!CF1="","",DAY('ปฏิทิน'!CF1))</f>
        <v/>
      </c>
      <c r="CG6" s="254">
        <f>IF('ปฏิทิน'!CG1="","",DAY('ปฏิทิน'!CG1))</f>
        <v/>
      </c>
      <c r="CH6" s="254">
        <f>IF('ปฏิทิน'!CH1="","",DAY('ปฏิทิน'!CH1))</f>
        <v/>
      </c>
      <c r="CI6" s="254">
        <f>IF('ปฏิทิน'!CI1="","",DAY('ปฏิทิน'!CI1))</f>
        <v/>
      </c>
      <c r="CJ6" s="254">
        <f>IF('ปฏิทิน'!CJ1="","",DAY('ปฏิทิน'!CJ1))</f>
        <v/>
      </c>
      <c r="CK6" s="254">
        <f>IF('ปฏิทิน'!CK1="","",DAY('ปฏิทิน'!CK1))</f>
        <v/>
      </c>
      <c r="CL6" s="254">
        <f>IF('ปฏิทิน'!CL1="","",DAY('ปฏิทิน'!CL1))</f>
        <v/>
      </c>
      <c r="CM6" s="254">
        <f>IF('ปฏิทิน'!CM1="","",DAY('ปฏิทิน'!CM1))</f>
        <v/>
      </c>
      <c r="CN6" s="254">
        <f>IF('ปฏิทิน'!CN1="","",DAY('ปฏิทิน'!CN1))</f>
        <v/>
      </c>
      <c r="CO6" s="254">
        <f>IF('ปฏิทิน'!CO1="","",DAY('ปฏิทิน'!CO1))</f>
        <v/>
      </c>
      <c r="CP6" s="254">
        <f>IF('ปฏิทิน'!CP1="","",DAY('ปฏิทิน'!CP1))</f>
        <v/>
      </c>
      <c r="CQ6" s="254">
        <f>IF('ปฏิทิน'!CQ1="","",DAY('ปฏิทิน'!CQ1))</f>
        <v/>
      </c>
      <c r="CR6" s="254">
        <f>IF('ปฏิทิน'!CR1="","",DAY('ปฏิทิน'!CR1))</f>
        <v/>
      </c>
      <c r="CS6" s="254">
        <f>IF('ปฏิทิน'!CS1="","",DAY('ปฏิทิน'!CS1))</f>
        <v/>
      </c>
      <c r="CT6" s="254">
        <f>IF('ปฏิทิน'!CT1="","",DAY('ปฏิทิน'!CT1))</f>
        <v/>
      </c>
      <c r="CU6" s="254">
        <f>IF('ปฏิทิน'!CU1="","",DAY('ปฏิทิน'!CU1))</f>
        <v/>
      </c>
      <c r="CV6" s="254">
        <f>IF('ปฏิทิน'!CV1="","",DAY('ปฏิทิน'!CV1))</f>
        <v/>
      </c>
      <c r="CW6" s="254">
        <f>IF('ปฏิทิน'!CW1="","",DAY('ปฏิทิน'!CW1))</f>
        <v/>
      </c>
      <c r="CX6" s="254">
        <f>IF('ปฏิทิน'!CX1="","",DAY('ปฏิทิน'!CX1))</f>
        <v/>
      </c>
      <c r="CY6" s="258" t="inlineStr">
        <is>
          <t>มา</t>
        </is>
      </c>
      <c r="CZ6" s="259" t="inlineStr">
        <is>
          <t>ลา
ป่วย</t>
        </is>
      </c>
      <c r="DA6" s="260" t="inlineStr">
        <is>
          <t>ขาด</t>
        </is>
      </c>
      <c r="DB6" s="257">
        <f>IF('ปฏิทิน'!DB1="","",DAY('ปฏิทิน'!DB1))</f>
        <v/>
      </c>
      <c r="DC6" s="254">
        <f>IF('ปฏิทิน'!DC1="","",DAY('ปฏิทิน'!DC1))</f>
        <v/>
      </c>
      <c r="DD6" s="254">
        <f>IF('ปฏิทิน'!DD1="","",DAY('ปฏิทิน'!DD1))</f>
        <v/>
      </c>
      <c r="DE6" s="254">
        <f>IF('ปฏิทิน'!DE1="","",DAY('ปฏิทิน'!DE1))</f>
        <v/>
      </c>
      <c r="DF6" s="254">
        <f>IF('ปฏิทิน'!DF1="","",DAY('ปฏิทิน'!DF1))</f>
        <v/>
      </c>
      <c r="DG6" s="254">
        <f>IF('ปฏิทิน'!DG1="","",DAY('ปฏิทิน'!DG1))</f>
        <v/>
      </c>
      <c r="DH6" s="254">
        <f>IF('ปฏิทิน'!DH1="","",DAY('ปฏิทิน'!DH1))</f>
        <v/>
      </c>
      <c r="DI6" s="254">
        <f>IF('ปฏิทิน'!DI1="","",DAY('ปฏิทิน'!DI1))</f>
        <v/>
      </c>
      <c r="DJ6" s="254">
        <f>IF('ปฏิทิน'!DJ1="","",DAY('ปฏิทิน'!DJ1))</f>
        <v/>
      </c>
      <c r="DK6" s="254">
        <f>IF('ปฏิทิน'!DK1="","",DAY('ปฏิทิน'!DK1))</f>
        <v/>
      </c>
      <c r="DL6" s="254">
        <f>IF('ปฏิทิน'!DL1="","",DAY('ปฏิทิน'!DL1))</f>
        <v/>
      </c>
      <c r="DM6" s="254">
        <f>IF('ปฏิทิน'!DM1="","",DAY('ปฏิทิน'!DM1))</f>
        <v/>
      </c>
      <c r="DN6" s="254">
        <f>IF('ปฏิทิน'!DN1="","",DAY('ปฏิทิน'!DN1))</f>
        <v/>
      </c>
      <c r="DO6" s="254">
        <f>IF('ปฏิทิน'!DO1="","",DAY('ปฏิทิน'!DO1))</f>
        <v/>
      </c>
      <c r="DP6" s="254">
        <f>IF('ปฏิทิน'!DP1="","",DAY('ปฏิทิน'!DP1))</f>
        <v/>
      </c>
      <c r="DQ6" s="254">
        <f>IF('ปฏิทิน'!DQ1="","",DAY('ปฏิทิน'!DQ1))</f>
        <v/>
      </c>
      <c r="DR6" s="254">
        <f>IF('ปฏิทิน'!DR1="","",DAY('ปฏิทิน'!DR1))</f>
        <v/>
      </c>
      <c r="DS6" s="254">
        <f>IF('ปฏิทิน'!DS1="","",DAY('ปฏิทิน'!DS1))</f>
        <v/>
      </c>
      <c r="DT6" s="254">
        <f>IF('ปฏิทิน'!DT1="","",DAY('ปฏิทิน'!DT1))</f>
        <v/>
      </c>
      <c r="DU6" s="254">
        <f>IF('ปฏิทิน'!DU1="","",DAY('ปฏิทิน'!DU1))</f>
        <v/>
      </c>
      <c r="DV6" s="254">
        <f>IF('ปฏิทิน'!DV1="","",DAY('ปฏิทิน'!DV1))</f>
        <v/>
      </c>
      <c r="DW6" s="254">
        <f>IF('ปฏิทิน'!DW1="","",DAY('ปฏิทิน'!DW1))</f>
        <v/>
      </c>
      <c r="DX6" s="254">
        <f>IF('ปฏิทิน'!DX1="","",DAY('ปฏิทิน'!DX1))</f>
        <v/>
      </c>
      <c r="DY6" s="254">
        <f>IF('ปฏิทิน'!DY1="","",DAY('ปฏิทิน'!DY1))</f>
        <v/>
      </c>
      <c r="DZ6" s="254">
        <f>IF('ปฏิทิน'!DZ1="","",DAY('ปฏิทิน'!DZ1))</f>
        <v/>
      </c>
      <c r="EA6" s="254">
        <f>IF('ปฏิทิน'!EA1="","",DAY('ปฏิทิน'!EA1))</f>
        <v/>
      </c>
      <c r="EB6" s="254">
        <f>IF('ปฏิทิน'!EB1="","",DAY('ปฏิทิน'!EB1))</f>
        <v/>
      </c>
      <c r="EC6" s="254">
        <f>IF('ปฏิทิน'!EC1="","",DAY('ปฏิทิน'!EC1))</f>
        <v/>
      </c>
      <c r="ED6" s="254">
        <f>IF('ปฏิทิน'!ED1="","",DAY('ปฏิทิน'!ED1))</f>
        <v/>
      </c>
      <c r="EE6" s="254">
        <f>IF('ปฏิทิน'!EE1="","",DAY('ปฏิทิน'!EE1))</f>
        <v/>
      </c>
      <c r="EF6" s="254">
        <f>IF('ปฏิทิน'!EF1="","",DAY('ปฏิทิน'!EF1))</f>
        <v/>
      </c>
      <c r="EG6" s="258" t="inlineStr">
        <is>
          <t>มา</t>
        </is>
      </c>
      <c r="EH6" s="259" t="inlineStr">
        <is>
          <t>ลา
ป่วย</t>
        </is>
      </c>
      <c r="EI6" s="260" t="inlineStr">
        <is>
          <t>ขาด</t>
        </is>
      </c>
      <c r="EJ6" s="257">
        <f>IF('ปฏิทิน'!EJ1="","",DAY('ปฏิทิน'!EJ1))</f>
        <v/>
      </c>
      <c r="EK6" s="254">
        <f>IF('ปฏิทิน'!EK1="","",DAY('ปฏิทิน'!EK1))</f>
        <v/>
      </c>
      <c r="EL6" s="254">
        <f>IF('ปฏิทิน'!EL1="","",DAY('ปฏิทิน'!EL1))</f>
        <v/>
      </c>
      <c r="EM6" s="254">
        <f>IF('ปฏิทิน'!EM1="","",DAY('ปฏิทิน'!EM1))</f>
        <v/>
      </c>
      <c r="EN6" s="254">
        <f>IF('ปฏิทิน'!EN1="","",DAY('ปฏิทิน'!EN1))</f>
        <v/>
      </c>
      <c r="EO6" s="254">
        <f>IF('ปฏิทิน'!EO1="","",DAY('ปฏิทิน'!EO1))</f>
        <v/>
      </c>
      <c r="EP6" s="254">
        <f>IF('ปฏิทิน'!EP1="","",DAY('ปฏิทิน'!EP1))</f>
        <v/>
      </c>
      <c r="EQ6" s="254">
        <f>IF('ปฏิทิน'!EQ1="","",DAY('ปฏิทิน'!EQ1))</f>
        <v/>
      </c>
      <c r="ER6" s="254">
        <f>IF('ปฏิทิน'!ER1="","",DAY('ปฏิทิน'!ER1))</f>
        <v/>
      </c>
      <c r="ES6" s="254">
        <f>IF('ปฏิทิน'!ES1="","",DAY('ปฏิทิน'!ES1))</f>
        <v/>
      </c>
      <c r="ET6" s="254">
        <f>IF('ปฏิทิน'!ET1="","",DAY('ปฏิทิน'!ET1))</f>
        <v/>
      </c>
      <c r="EU6" s="254">
        <f>IF('ปฏิทิน'!EU1="","",DAY('ปฏิทิน'!EU1))</f>
        <v/>
      </c>
      <c r="EV6" s="254">
        <f>IF('ปฏิทิน'!EV1="","",DAY('ปฏิทิน'!EV1))</f>
        <v/>
      </c>
      <c r="EW6" s="254">
        <f>IF('ปฏิทิน'!EW1="","",DAY('ปฏิทิน'!EW1))</f>
        <v/>
      </c>
      <c r="EX6" s="254">
        <f>IF('ปฏิทิน'!EX1="","",DAY('ปฏิทิน'!EX1))</f>
        <v/>
      </c>
      <c r="EY6" s="254">
        <f>IF('ปฏิทิน'!EY1="","",DAY('ปฏิทิน'!EY1))</f>
        <v/>
      </c>
      <c r="EZ6" s="254">
        <f>IF('ปฏิทิน'!EZ1="","",DAY('ปฏิทิน'!EZ1))</f>
        <v/>
      </c>
      <c r="FA6" s="254">
        <f>IF('ปฏิทิน'!FA1="","",DAY('ปฏิทิน'!FA1))</f>
        <v/>
      </c>
      <c r="FB6" s="254">
        <f>IF('ปฏิทิน'!FB1="","",DAY('ปฏิทิน'!FB1))</f>
        <v/>
      </c>
      <c r="FC6" s="254">
        <f>IF('ปฏิทิน'!FC1="","",DAY('ปฏิทิน'!FC1))</f>
        <v/>
      </c>
      <c r="FD6" s="254">
        <f>IF('ปฏิทิน'!FD1="","",DAY('ปฏิทิน'!FD1))</f>
        <v/>
      </c>
      <c r="FE6" s="254">
        <f>IF('ปฏิทิน'!FE1="","",DAY('ปฏิทิน'!FE1))</f>
        <v/>
      </c>
      <c r="FF6" s="254">
        <f>IF('ปฏิทิน'!FF1="","",DAY('ปฏิทิน'!FF1))</f>
        <v/>
      </c>
      <c r="FG6" s="254">
        <f>IF('ปฏิทิน'!FG1="","",DAY('ปฏิทิน'!FG1))</f>
        <v/>
      </c>
      <c r="FH6" s="254">
        <f>IF('ปฏิทิน'!FH1="","",DAY('ปฏิทิน'!FH1))</f>
        <v/>
      </c>
      <c r="FI6" s="254">
        <f>IF('ปฏิทิน'!FI1="","",DAY('ปฏิทิน'!FI1))</f>
        <v/>
      </c>
      <c r="FJ6" s="254">
        <f>IF('ปฏิทิน'!FJ1="","",DAY('ปฏิทิน'!FJ1))</f>
        <v/>
      </c>
      <c r="FK6" s="254">
        <f>IF('ปฏิทิน'!FK1="","",DAY('ปฏิทิน'!FK1))</f>
        <v/>
      </c>
      <c r="FL6" s="254">
        <f>IF('ปฏิทิน'!FL1="","",DAY('ปฏิทิน'!FL1))</f>
        <v/>
      </c>
      <c r="FM6" s="254">
        <f>IF('ปฏิทิน'!FM1="","",DAY('ปฏิทิน'!FM1))</f>
        <v/>
      </c>
      <c r="FN6" s="254">
        <f>IF('ปฏิทิน'!FN1="","",DAY('ปฏิทิน'!FN1))</f>
        <v/>
      </c>
      <c r="FO6" s="258" t="inlineStr">
        <is>
          <t>มา</t>
        </is>
      </c>
      <c r="FP6" s="259" t="inlineStr">
        <is>
          <t>ลา
ป่วย</t>
        </is>
      </c>
      <c r="FQ6" s="260" t="inlineStr">
        <is>
          <t>ขาด</t>
        </is>
      </c>
      <c r="FR6" s="257">
        <f>IF('ปฏิทิน'!FR1="","",DAY('ปฏิทิน'!FR1))</f>
        <v/>
      </c>
      <c r="FS6" s="254">
        <f>IF('ปฏิทิน'!FS1="","",DAY('ปฏิทิน'!FS1))</f>
        <v/>
      </c>
      <c r="FT6" s="254">
        <f>IF('ปฏิทิน'!FT1="","",DAY('ปฏิทิน'!FT1))</f>
        <v/>
      </c>
      <c r="FU6" s="254">
        <f>IF('ปฏิทิน'!FU1="","",DAY('ปฏิทิน'!FU1))</f>
        <v/>
      </c>
      <c r="FV6" s="254">
        <f>IF('ปฏิทิน'!FV1="","",DAY('ปฏิทิน'!FV1))</f>
        <v/>
      </c>
      <c r="FW6" s="254">
        <f>IF('ปฏิทิน'!FW1="","",DAY('ปฏิทิน'!FW1))</f>
        <v/>
      </c>
      <c r="FX6" s="254">
        <f>IF('ปฏิทิน'!FX1="","",DAY('ปฏิทิน'!FX1))</f>
        <v/>
      </c>
      <c r="FY6" s="254">
        <f>IF('ปฏิทิน'!FY1="","",DAY('ปฏิทิน'!FY1))</f>
        <v/>
      </c>
      <c r="FZ6" s="254">
        <f>IF('ปฏิทิน'!FZ1="","",DAY('ปฏิทิน'!FZ1))</f>
        <v/>
      </c>
      <c r="GA6" s="254">
        <f>IF('ปฏิทิน'!GA1="","",DAY('ปฏิทิน'!GA1))</f>
        <v/>
      </c>
      <c r="GB6" s="254">
        <f>IF('ปฏิทิน'!GB1="","",DAY('ปฏิทิน'!GB1))</f>
        <v/>
      </c>
      <c r="GC6" s="254">
        <f>IF('ปฏิทิน'!GC1="","",DAY('ปฏิทิน'!GC1))</f>
        <v/>
      </c>
      <c r="GD6" s="254">
        <f>IF('ปฏิทิน'!GD1="","",DAY('ปฏิทิน'!GD1))</f>
        <v/>
      </c>
      <c r="GE6" s="254">
        <f>IF('ปฏิทิน'!GE1="","",DAY('ปฏิทิน'!GE1))</f>
        <v/>
      </c>
      <c r="GF6" s="254">
        <f>IF('ปฏิทิน'!GF1="","",DAY('ปฏิทิน'!GF1))</f>
        <v/>
      </c>
      <c r="GG6" s="254">
        <f>IF('ปฏิทิน'!GG1="","",DAY('ปฏิทิน'!GG1))</f>
        <v/>
      </c>
      <c r="GH6" s="254">
        <f>IF('ปฏิทิน'!GH1="","",DAY('ปฏิทิน'!GH1))</f>
        <v/>
      </c>
      <c r="GI6" s="254">
        <f>IF('ปฏิทิน'!GI1="","",DAY('ปฏิทิน'!GI1))</f>
        <v/>
      </c>
      <c r="GJ6" s="254">
        <f>IF('ปฏิทิน'!GJ1="","",DAY('ปฏิทิน'!GJ1))</f>
        <v/>
      </c>
      <c r="GK6" s="254">
        <f>IF('ปฏิทิน'!GK1="","",DAY('ปฏิทิน'!GK1))</f>
        <v/>
      </c>
      <c r="GL6" s="254">
        <f>IF('ปฏิทิน'!GL1="","",DAY('ปฏิทิน'!GL1))</f>
        <v/>
      </c>
      <c r="GM6" s="254">
        <f>IF('ปฏิทิน'!GM1="","",DAY('ปฏิทิน'!GM1))</f>
        <v/>
      </c>
      <c r="GN6" s="254">
        <f>IF('ปฏิทิน'!GN1="","",DAY('ปฏิทิน'!GN1))</f>
        <v/>
      </c>
      <c r="GO6" s="254">
        <f>IF('ปฏิทิน'!GO1="","",DAY('ปฏิทิน'!GO1))</f>
        <v/>
      </c>
      <c r="GP6" s="254">
        <f>IF('ปฏิทิน'!GP1="","",DAY('ปฏิทิน'!GP1))</f>
        <v/>
      </c>
      <c r="GQ6" s="254">
        <f>IF('ปฏิทิน'!GQ1="","",DAY('ปฏิทิน'!GQ1))</f>
        <v/>
      </c>
      <c r="GR6" s="254">
        <f>IF('ปฏิทิน'!GR1="","",DAY('ปฏิทิน'!GR1))</f>
        <v/>
      </c>
      <c r="GS6" s="254">
        <f>IF('ปฏิทิน'!GS1="","",DAY('ปฏิทิน'!GS1))</f>
        <v/>
      </c>
      <c r="GT6" s="254">
        <f>IF('ปฏิทิน'!GT1="","",DAY('ปฏิทิน'!GT1))</f>
        <v/>
      </c>
      <c r="GU6" s="254">
        <f>IF('ปฏิทิน'!GU1="","",DAY('ปฏิทิน'!GU1))</f>
        <v/>
      </c>
      <c r="GV6" s="254">
        <f>IF('ปฏิทิน'!GV1="","",DAY('ปฏิทิน'!GV1))</f>
        <v/>
      </c>
      <c r="GW6" s="258" t="inlineStr">
        <is>
          <t>มา</t>
        </is>
      </c>
      <c r="GX6" s="259" t="inlineStr">
        <is>
          <t>ลา
ป่วย</t>
        </is>
      </c>
      <c r="GY6" s="260" t="inlineStr">
        <is>
          <t>ขาด</t>
        </is>
      </c>
    </row>
    <row r="7">
      <c r="D7" s="261">
        <f>IF('ปฏิทิน'!D1="","",CHOOSE(WEEKDAY('ปฏิทิน'!D1,2),"จ.","อ.","พ.","พฤ.","ศ.","ส.","อา."))</f>
        <v/>
      </c>
      <c r="E7" s="262">
        <f>IF('ปฏิทิน'!E1="","",CHOOSE(WEEKDAY('ปฏิทิน'!E1,2),"จ.","อ.","พ.","พฤ.","ศ.","ส.","อา."))</f>
        <v/>
      </c>
      <c r="F7" s="262">
        <f>IF('ปฏิทิน'!F1="","",CHOOSE(WEEKDAY('ปฏิทิน'!F1,2),"จ.","อ.","พ.","พฤ.","ศ.","ส.","อา."))</f>
        <v/>
      </c>
      <c r="G7" s="262">
        <f>IF('ปฏิทิน'!G1="","",CHOOSE(WEEKDAY('ปฏิทิน'!G1,2),"จ.","อ.","พ.","พฤ.","ศ.","ส.","อา."))</f>
        <v/>
      </c>
      <c r="H7" s="262">
        <f>IF('ปฏิทิน'!H1="","",CHOOSE(WEEKDAY('ปฏิทิน'!H1,2),"จ.","อ.","พ.","พฤ.","ศ.","ส.","อา."))</f>
        <v/>
      </c>
      <c r="I7" s="262">
        <f>IF('ปฏิทิน'!I1="","",CHOOSE(WEEKDAY('ปฏิทิน'!I1,2),"จ.","อ.","พ.","พฤ.","ศ.","ส.","อา."))</f>
        <v/>
      </c>
      <c r="J7" s="262">
        <f>IF('ปฏิทิน'!J1="","",CHOOSE(WEEKDAY('ปฏิทิน'!J1,2),"จ.","อ.","พ.","พฤ.","ศ.","ส.","อา."))</f>
        <v/>
      </c>
      <c r="K7" s="262">
        <f>IF('ปฏิทิน'!K1="","",CHOOSE(WEEKDAY('ปฏิทิน'!K1,2),"จ.","อ.","พ.","พฤ.","ศ.","ส.","อา."))</f>
        <v/>
      </c>
      <c r="L7" s="262">
        <f>IF('ปฏิทิน'!L1="","",CHOOSE(WEEKDAY('ปฏิทิน'!L1,2),"จ.","อ.","พ.","พฤ.","ศ.","ส.","อา."))</f>
        <v/>
      </c>
      <c r="M7" s="262">
        <f>IF('ปฏิทิน'!M1="","",CHOOSE(WEEKDAY('ปฏิทิน'!M1,2),"จ.","อ.","พ.","พฤ.","ศ.","ส.","อา."))</f>
        <v/>
      </c>
      <c r="N7" s="262">
        <f>IF('ปฏิทิน'!N1="","",CHOOSE(WEEKDAY('ปฏิทิน'!N1,2),"จ.","อ.","พ.","พฤ.","ศ.","ส.","อา."))</f>
        <v/>
      </c>
      <c r="O7" s="262">
        <f>IF('ปฏิทิน'!O1="","",CHOOSE(WEEKDAY('ปฏิทิน'!O1,2),"จ.","อ.","พ.","พฤ.","ศ.","ส.","อา."))</f>
        <v/>
      </c>
      <c r="P7" s="262">
        <f>IF('ปฏิทิน'!P1="","",CHOOSE(WEEKDAY('ปฏิทิน'!P1,2),"จ.","อ.","พ.","พฤ.","ศ.","ส.","อา."))</f>
        <v/>
      </c>
      <c r="Q7" s="262">
        <f>IF('ปฏิทิน'!Q1="","",CHOOSE(WEEKDAY('ปฏิทิน'!Q1,2),"จ.","อ.","พ.","พฤ.","ศ.","ส.","อา."))</f>
        <v/>
      </c>
      <c r="R7" s="262">
        <f>IF('ปฏิทิน'!R1="","",CHOOSE(WEEKDAY('ปฏิทิน'!R1,2),"จ.","อ.","พ.","พฤ.","ศ.","ส.","อา."))</f>
        <v/>
      </c>
      <c r="S7" s="262">
        <f>IF('ปฏิทิน'!S1="","",CHOOSE(WEEKDAY('ปฏิทิน'!S1,2),"จ.","อ.","พ.","พฤ.","ศ.","ส.","อา."))</f>
        <v/>
      </c>
      <c r="T7" s="262">
        <f>IF('ปฏิทิน'!T1="","",CHOOSE(WEEKDAY('ปฏิทิน'!T1,2),"จ.","อ.","พ.","พฤ.","ศ.","ส.","อา."))</f>
        <v/>
      </c>
      <c r="U7" s="262">
        <f>IF('ปฏิทิน'!U1="","",CHOOSE(WEEKDAY('ปฏิทิน'!U1,2),"จ.","อ.","พ.","พฤ.","ศ.","ส.","อา."))</f>
        <v/>
      </c>
      <c r="V7" s="262">
        <f>IF('ปฏิทิน'!V1="","",CHOOSE(WEEKDAY('ปฏิทิน'!V1,2),"จ.","อ.","พ.","พฤ.","ศ.","ส.","อา."))</f>
        <v/>
      </c>
      <c r="W7" s="262">
        <f>IF('ปฏิทิน'!W1="","",CHOOSE(WEEKDAY('ปฏิทิน'!W1,2),"จ.","อ.","พ.","พฤ.","ศ.","ส.","อา."))</f>
        <v/>
      </c>
      <c r="X7" s="262">
        <f>IF('ปฏิทิน'!X1="","",CHOOSE(WEEKDAY('ปฏิทิน'!X1,2),"จ.","อ.","พ.","พฤ.","ศ.","ส.","อา."))</f>
        <v/>
      </c>
      <c r="Y7" s="262">
        <f>IF('ปฏิทิน'!Y1="","",CHOOSE(WEEKDAY('ปฏิทิน'!Y1,2),"จ.","อ.","พ.","พฤ.","ศ.","ส.","อา."))</f>
        <v/>
      </c>
      <c r="Z7" s="262">
        <f>IF('ปฏิทิน'!Z1="","",CHOOSE(WEEKDAY('ปฏิทิน'!Z1,2),"จ.","อ.","พ.","พฤ.","ศ.","ส.","อา."))</f>
        <v/>
      </c>
      <c r="AA7" s="262">
        <f>IF('ปฏิทิน'!AA1="","",CHOOSE(WEEKDAY('ปฏิทิน'!AA1,2),"จ.","อ.","พ.","พฤ.","ศ.","ส.","อา."))</f>
        <v/>
      </c>
      <c r="AB7" s="262">
        <f>IF('ปฏิทิน'!AB1="","",CHOOSE(WEEKDAY('ปฏิทิน'!AB1,2),"จ.","อ.","พ.","พฤ.","ศ.","ส.","อา."))</f>
        <v/>
      </c>
      <c r="AC7" s="262">
        <f>IF('ปฏิทิน'!AC1="","",CHOOSE(WEEKDAY('ปฏิทิน'!AC1,2),"จ.","อ.","พ.","พฤ.","ศ.","ส.","อา."))</f>
        <v/>
      </c>
      <c r="AD7" s="262">
        <f>IF('ปฏิทิน'!AD1="","",CHOOSE(WEEKDAY('ปฏิทิน'!AD1,2),"จ.","อ.","พ.","พฤ.","ศ.","ส.","อา."))</f>
        <v/>
      </c>
      <c r="AE7" s="262">
        <f>IF('ปฏิทิน'!AE1="","",CHOOSE(WEEKDAY('ปฏิทิน'!AE1,2),"จ.","อ.","พ.","พฤ.","ศ.","ส.","อา."))</f>
        <v/>
      </c>
      <c r="AF7" s="262">
        <f>IF('ปฏิทิน'!AF1="","",CHOOSE(WEEKDAY('ปฏิทิน'!AF1,2),"จ.","อ.","พ.","พฤ.","ศ.","ส.","อา."))</f>
        <v/>
      </c>
      <c r="AG7" s="262">
        <f>IF('ปฏิทิน'!AG1="","",CHOOSE(WEEKDAY('ปฏิทิน'!AG1,2),"จ.","อ.","พ.","พฤ.","ศ.","ส.","อา."))</f>
        <v/>
      </c>
      <c r="AH7" s="262">
        <f>IF('ปฏิทิน'!AH1="","",CHOOSE(WEEKDAY('ปฏิทิน'!AH1,2),"จ.","อ.","พ.","พฤ.","ศ.","ส.","อา."))</f>
        <v/>
      </c>
      <c r="AI7" s="263" t="n"/>
      <c r="AL7" s="261">
        <f>IF('ปฏิทิน'!AL1="","",CHOOSE(WEEKDAY('ปฏิทิน'!AL1,2),"จ.","อ.","พ.","พฤ.","ศ.","ส.","อา."))</f>
        <v/>
      </c>
      <c r="AM7" s="262">
        <f>IF('ปฏิทิน'!AM1="","",CHOOSE(WEEKDAY('ปฏิทิน'!AM1,2),"จ.","อ.","พ.","พฤ.","ศ.","ส.","อา."))</f>
        <v/>
      </c>
      <c r="AN7" s="262">
        <f>IF('ปฏิทิน'!AN1="","",CHOOSE(WEEKDAY('ปฏิทิน'!AN1,2),"จ.","อ.","พ.","พฤ.","ศ.","ส.","อา."))</f>
        <v/>
      </c>
      <c r="AO7" s="262">
        <f>IF('ปฏิทิน'!AO1="","",CHOOSE(WEEKDAY('ปฏิทิน'!AO1,2),"จ.","อ.","พ.","พฤ.","ศ.","ส.","อา."))</f>
        <v/>
      </c>
      <c r="AP7" s="262">
        <f>IF('ปฏิทิน'!AP1="","",CHOOSE(WEEKDAY('ปฏิทิน'!AP1,2),"จ.","อ.","พ.","พฤ.","ศ.","ส.","อา."))</f>
        <v/>
      </c>
      <c r="AQ7" s="262">
        <f>IF('ปฏิทิน'!AQ1="","",CHOOSE(WEEKDAY('ปฏิทิน'!AQ1,2),"จ.","อ.","พ.","พฤ.","ศ.","ส.","อา."))</f>
        <v/>
      </c>
      <c r="AR7" s="262">
        <f>IF('ปฏิทิน'!AR1="","",CHOOSE(WEEKDAY('ปฏิทิน'!AR1,2),"จ.","อ.","พ.","พฤ.","ศ.","ส.","อา."))</f>
        <v/>
      </c>
      <c r="AS7" s="262">
        <f>IF('ปฏิทิน'!AS1="","",CHOOSE(WEEKDAY('ปฏิทิน'!AS1,2),"จ.","อ.","พ.","พฤ.","ศ.","ส.","อา."))</f>
        <v/>
      </c>
      <c r="AT7" s="262">
        <f>IF('ปฏิทิน'!AT1="","",CHOOSE(WEEKDAY('ปฏิทิน'!AT1,2),"จ.","อ.","พ.","พฤ.","ศ.","ส.","อา."))</f>
        <v/>
      </c>
      <c r="AU7" s="262">
        <f>IF('ปฏิทิน'!AU1="","",CHOOSE(WEEKDAY('ปฏิทิน'!AU1,2),"จ.","อ.","พ.","พฤ.","ศ.","ส.","อา."))</f>
        <v/>
      </c>
      <c r="AV7" s="262">
        <f>IF('ปฏิทิน'!AV1="","",CHOOSE(WEEKDAY('ปฏิทิน'!AV1,2),"จ.","อ.","พ.","พฤ.","ศ.","ส.","อา."))</f>
        <v/>
      </c>
      <c r="AW7" s="262">
        <f>IF('ปฏิทิน'!AW1="","",CHOOSE(WEEKDAY('ปฏิทิน'!AW1,2),"จ.","อ.","พ.","พฤ.","ศ.","ส.","อา."))</f>
        <v/>
      </c>
      <c r="AX7" s="262">
        <f>IF('ปฏิทิน'!AX1="","",CHOOSE(WEEKDAY('ปฏิทิน'!AX1,2),"จ.","อ.","พ.","พฤ.","ศ.","ส.","อา."))</f>
        <v/>
      </c>
      <c r="AY7" s="262">
        <f>IF('ปฏิทิน'!AY1="","",CHOOSE(WEEKDAY('ปฏิทิน'!AY1,2),"จ.","อ.","พ.","พฤ.","ศ.","ส.","อา."))</f>
        <v/>
      </c>
      <c r="AZ7" s="262">
        <f>IF('ปฏิทิน'!AZ1="","",CHOOSE(WEEKDAY('ปฏิทิน'!AZ1,2),"จ.","อ.","พ.","พฤ.","ศ.","ส.","อา."))</f>
        <v/>
      </c>
      <c r="BA7" s="262">
        <f>IF('ปฏิทิน'!BA1="","",CHOOSE(WEEKDAY('ปฏิทิน'!BA1,2),"จ.","อ.","พ.","พฤ.","ศ.","ส.","อา."))</f>
        <v/>
      </c>
      <c r="BB7" s="262">
        <f>IF('ปฏิทิน'!BB1="","",CHOOSE(WEEKDAY('ปฏิทิน'!BB1,2),"จ.","อ.","พ.","พฤ.","ศ.","ส.","อา."))</f>
        <v/>
      </c>
      <c r="BC7" s="262">
        <f>IF('ปฏิทิน'!BC1="","",CHOOSE(WEEKDAY('ปฏิทิน'!BC1,2),"จ.","อ.","พ.","พฤ.","ศ.","ส.","อา."))</f>
        <v/>
      </c>
      <c r="BD7" s="262">
        <f>IF('ปฏิทิน'!BD1="","",CHOOSE(WEEKDAY('ปฏิทิน'!BD1,2),"จ.","อ.","พ.","พฤ.","ศ.","ส.","อา."))</f>
        <v/>
      </c>
      <c r="BE7" s="262">
        <f>IF('ปฏิทิน'!BE1="","",CHOOSE(WEEKDAY('ปฏิทิน'!BE1,2),"จ.","อ.","พ.","พฤ.","ศ.","ส.","อา."))</f>
        <v/>
      </c>
      <c r="BF7" s="262">
        <f>IF('ปฏิทิน'!BF1="","",CHOOSE(WEEKDAY('ปฏิทิน'!BF1,2),"จ.","อ.","พ.","พฤ.","ศ.","ส.","อา."))</f>
        <v/>
      </c>
      <c r="BG7" s="262">
        <f>IF('ปฏิทิน'!BG1="","",CHOOSE(WEEKDAY('ปฏิทิน'!BG1,2),"จ.","อ.","พ.","พฤ.","ศ.","ส.","อา."))</f>
        <v/>
      </c>
      <c r="BH7" s="262">
        <f>IF('ปฏิทิน'!BH1="","",CHOOSE(WEEKDAY('ปฏิทิน'!BH1,2),"จ.","อ.","พ.","พฤ.","ศ.","ส.","อา."))</f>
        <v/>
      </c>
      <c r="BI7" s="262">
        <f>IF('ปฏิทิน'!BI1="","",CHOOSE(WEEKDAY('ปฏิทิน'!BI1,2),"จ.","อ.","พ.","พฤ.","ศ.","ส.","อา."))</f>
        <v/>
      </c>
      <c r="BJ7" s="262">
        <f>IF('ปฏิทิน'!BJ1="","",CHOOSE(WEEKDAY('ปฏิทิน'!BJ1,2),"จ.","อ.","พ.","พฤ.","ศ.","ส.","อา."))</f>
        <v/>
      </c>
      <c r="BK7" s="262">
        <f>IF('ปฏิทิน'!BK1="","",CHOOSE(WEEKDAY('ปฏิทิน'!BK1,2),"จ.","อ.","พ.","พฤ.","ศ.","ส.","อา."))</f>
        <v/>
      </c>
      <c r="BL7" s="262">
        <f>IF('ปฏิทิน'!BL1="","",CHOOSE(WEEKDAY('ปฏิทิน'!BL1,2),"จ.","อ.","พ.","พฤ.","ศ.","ส.","อา."))</f>
        <v/>
      </c>
      <c r="BM7" s="262">
        <f>IF('ปฏิทิน'!BM1="","",CHOOSE(WEEKDAY('ปฏิทิน'!BM1,2),"จ.","อ.","พ.","พฤ.","ศ.","ส.","อา."))</f>
        <v/>
      </c>
      <c r="BN7" s="262">
        <f>IF('ปฏิทิน'!BN1="","",CHOOSE(WEEKDAY('ปฏิทิน'!BN1,2),"จ.","อ.","พ.","พฤ.","ศ.","ส.","อา."))</f>
        <v/>
      </c>
      <c r="BO7" s="262">
        <f>IF('ปฏิทิน'!BO1="","",CHOOSE(WEEKDAY('ปฏิทิน'!BO1,2),"จ.","อ.","พ.","พฤ.","ศ.","ส.","อา."))</f>
        <v/>
      </c>
      <c r="BP7" s="262">
        <f>IF('ปฏิทิน'!BP1="","",CHOOSE(WEEKDAY('ปฏิทิน'!BP1,2),"จ.","อ.","พ.","พฤ.","ศ.","ส.","อา."))</f>
        <v/>
      </c>
      <c r="BQ7" s="263" t="n"/>
      <c r="BT7" s="261">
        <f>IF('ปฏิทิน'!BT1="","",CHOOSE(WEEKDAY('ปฏิทิน'!BT1,2),"จ.","อ.","พ.","พฤ.","ศ.","ส.","อา."))</f>
        <v/>
      </c>
      <c r="BU7" s="262">
        <f>IF('ปฏิทิน'!BU1="","",CHOOSE(WEEKDAY('ปฏิทิน'!BU1,2),"จ.","อ.","พ.","พฤ.","ศ.","ส.","อา."))</f>
        <v/>
      </c>
      <c r="BV7" s="262">
        <f>IF('ปฏิทิน'!BV1="","",CHOOSE(WEEKDAY('ปฏิทิน'!BV1,2),"จ.","อ.","พ.","พฤ.","ศ.","ส.","อา."))</f>
        <v/>
      </c>
      <c r="BW7" s="262">
        <f>IF('ปฏิทิน'!BW1="","",CHOOSE(WEEKDAY('ปฏิทิน'!BW1,2),"จ.","อ.","พ.","พฤ.","ศ.","ส.","อา."))</f>
        <v/>
      </c>
      <c r="BX7" s="262">
        <f>IF('ปฏิทิน'!BX1="","",CHOOSE(WEEKDAY('ปฏิทิน'!BX1,2),"จ.","อ.","พ.","พฤ.","ศ.","ส.","อา."))</f>
        <v/>
      </c>
      <c r="BY7" s="262">
        <f>IF('ปฏิทิน'!BY1="","",CHOOSE(WEEKDAY('ปฏิทิน'!BY1,2),"จ.","อ.","พ.","พฤ.","ศ.","ส.","อา."))</f>
        <v/>
      </c>
      <c r="BZ7" s="262">
        <f>IF('ปฏิทิน'!BZ1="","",CHOOSE(WEEKDAY('ปฏิทิน'!BZ1,2),"จ.","อ.","พ.","พฤ.","ศ.","ส.","อา."))</f>
        <v/>
      </c>
      <c r="CA7" s="262">
        <f>IF('ปฏิทิน'!CA1="","",CHOOSE(WEEKDAY('ปฏิทิน'!CA1,2),"จ.","อ.","พ.","พฤ.","ศ.","ส.","อา."))</f>
        <v/>
      </c>
      <c r="CB7" s="262">
        <f>IF('ปฏิทิน'!CB1="","",CHOOSE(WEEKDAY('ปฏิทิน'!CB1,2),"จ.","อ.","พ.","พฤ.","ศ.","ส.","อา."))</f>
        <v/>
      </c>
      <c r="CC7" s="262">
        <f>IF('ปฏิทิน'!CC1="","",CHOOSE(WEEKDAY('ปฏิทิน'!CC1,2),"จ.","อ.","พ.","พฤ.","ศ.","ส.","อา."))</f>
        <v/>
      </c>
      <c r="CD7" s="262">
        <f>IF('ปฏิทิน'!CD1="","",CHOOSE(WEEKDAY('ปฏิทิน'!CD1,2),"จ.","อ.","พ.","พฤ.","ศ.","ส.","อา."))</f>
        <v/>
      </c>
      <c r="CE7" s="262">
        <f>IF('ปฏิทิน'!CE1="","",CHOOSE(WEEKDAY('ปฏิทิน'!CE1,2),"จ.","อ.","พ.","พฤ.","ศ.","ส.","อา."))</f>
        <v/>
      </c>
      <c r="CF7" s="262">
        <f>IF('ปฏิทิน'!CF1="","",CHOOSE(WEEKDAY('ปฏิทิน'!CF1,2),"จ.","อ.","พ.","พฤ.","ศ.","ส.","อา."))</f>
        <v/>
      </c>
      <c r="CG7" s="262">
        <f>IF('ปฏิทิน'!CG1="","",CHOOSE(WEEKDAY('ปฏิทิน'!CG1,2),"จ.","อ.","พ.","พฤ.","ศ.","ส.","อา."))</f>
        <v/>
      </c>
      <c r="CH7" s="262">
        <f>IF('ปฏิทิน'!CH1="","",CHOOSE(WEEKDAY('ปฏิทิน'!CH1,2),"จ.","อ.","พ.","พฤ.","ศ.","ส.","อา."))</f>
        <v/>
      </c>
      <c r="CI7" s="262">
        <f>IF('ปฏิทิน'!CI1="","",CHOOSE(WEEKDAY('ปฏิทิน'!CI1,2),"จ.","อ.","พ.","พฤ.","ศ.","ส.","อา."))</f>
        <v/>
      </c>
      <c r="CJ7" s="262">
        <f>IF('ปฏิทิน'!CJ1="","",CHOOSE(WEEKDAY('ปฏิทิน'!CJ1,2),"จ.","อ.","พ.","พฤ.","ศ.","ส.","อา."))</f>
        <v/>
      </c>
      <c r="CK7" s="262">
        <f>IF('ปฏิทิน'!CK1="","",CHOOSE(WEEKDAY('ปฏิทิน'!CK1,2),"จ.","อ.","พ.","พฤ.","ศ.","ส.","อา."))</f>
        <v/>
      </c>
      <c r="CL7" s="262">
        <f>IF('ปฏิทิน'!CL1="","",CHOOSE(WEEKDAY('ปฏิทิน'!CL1,2),"จ.","อ.","พ.","พฤ.","ศ.","ส.","อา."))</f>
        <v/>
      </c>
      <c r="CM7" s="262">
        <f>IF('ปฏิทิน'!CM1="","",CHOOSE(WEEKDAY('ปฏิทิน'!CM1,2),"จ.","อ.","พ.","พฤ.","ศ.","ส.","อา."))</f>
        <v/>
      </c>
      <c r="CN7" s="262">
        <f>IF('ปฏิทิน'!CN1="","",CHOOSE(WEEKDAY('ปฏิทิน'!CN1,2),"จ.","อ.","พ.","พฤ.","ศ.","ส.","อา."))</f>
        <v/>
      </c>
      <c r="CO7" s="262">
        <f>IF('ปฏิทิน'!CO1="","",CHOOSE(WEEKDAY('ปฏิทิน'!CO1,2),"จ.","อ.","พ.","พฤ.","ศ.","ส.","อา."))</f>
        <v/>
      </c>
      <c r="CP7" s="262">
        <f>IF('ปฏิทิน'!CP1="","",CHOOSE(WEEKDAY('ปฏิทิน'!CP1,2),"จ.","อ.","พ.","พฤ.","ศ.","ส.","อา."))</f>
        <v/>
      </c>
      <c r="CQ7" s="262">
        <f>IF('ปฏิทิน'!CQ1="","",CHOOSE(WEEKDAY('ปฏิทิน'!CQ1,2),"จ.","อ.","พ.","พฤ.","ศ.","ส.","อา."))</f>
        <v/>
      </c>
      <c r="CR7" s="262">
        <f>IF('ปฏิทิน'!CR1="","",CHOOSE(WEEKDAY('ปฏิทิน'!CR1,2),"จ.","อ.","พ.","พฤ.","ศ.","ส.","อา."))</f>
        <v/>
      </c>
      <c r="CS7" s="262">
        <f>IF('ปฏิทิน'!CS1="","",CHOOSE(WEEKDAY('ปฏิทิน'!CS1,2),"จ.","อ.","พ.","พฤ.","ศ.","ส.","อา."))</f>
        <v/>
      </c>
      <c r="CT7" s="262">
        <f>IF('ปฏิทิน'!CT1="","",CHOOSE(WEEKDAY('ปฏิทิน'!CT1,2),"จ.","อ.","พ.","พฤ.","ศ.","ส.","อา."))</f>
        <v/>
      </c>
      <c r="CU7" s="262">
        <f>IF('ปฏิทิน'!CU1="","",CHOOSE(WEEKDAY('ปฏิทิน'!CU1,2),"จ.","อ.","พ.","พฤ.","ศ.","ส.","อา."))</f>
        <v/>
      </c>
      <c r="CV7" s="262">
        <f>IF('ปฏิทิน'!CV1="","",CHOOSE(WEEKDAY('ปฏิทิน'!CV1,2),"จ.","อ.","พ.","พฤ.","ศ.","ส.","อา."))</f>
        <v/>
      </c>
      <c r="CW7" s="262">
        <f>IF('ปฏิทิน'!CW1="","",CHOOSE(WEEKDAY('ปฏิทิน'!CW1,2),"จ.","อ.","พ.","พฤ.","ศ.","ส.","อา."))</f>
        <v/>
      </c>
      <c r="CX7" s="262">
        <f>IF('ปฏิทิน'!CX1="","",CHOOSE(WEEKDAY('ปฏิทิน'!CX1,2),"จ.","อ.","พ.","พฤ.","ศ.","ส.","อา."))</f>
        <v/>
      </c>
      <c r="CY7" s="263" t="n"/>
      <c r="DB7" s="261">
        <f>IF('ปฏิทิน'!DB1="","",CHOOSE(WEEKDAY('ปฏิทิน'!DB1,2),"จ.","อ.","พ.","พฤ.","ศ.","ส.","อา."))</f>
        <v/>
      </c>
      <c r="DC7" s="262">
        <f>IF('ปฏิทิน'!DC1="","",CHOOSE(WEEKDAY('ปฏิทิน'!DC1,2),"จ.","อ.","พ.","พฤ.","ศ.","ส.","อา."))</f>
        <v/>
      </c>
      <c r="DD7" s="262">
        <f>IF('ปฏิทิน'!DD1="","",CHOOSE(WEEKDAY('ปฏิทิน'!DD1,2),"จ.","อ.","พ.","พฤ.","ศ.","ส.","อา."))</f>
        <v/>
      </c>
      <c r="DE7" s="262">
        <f>IF('ปฏิทิน'!DE1="","",CHOOSE(WEEKDAY('ปฏิทิน'!DE1,2),"จ.","อ.","พ.","พฤ.","ศ.","ส.","อา."))</f>
        <v/>
      </c>
      <c r="DF7" s="262">
        <f>IF('ปฏิทิน'!DF1="","",CHOOSE(WEEKDAY('ปฏิทิน'!DF1,2),"จ.","อ.","พ.","พฤ.","ศ.","ส.","อา."))</f>
        <v/>
      </c>
      <c r="DG7" s="262">
        <f>IF('ปฏิทิน'!DG1="","",CHOOSE(WEEKDAY('ปฏิทิน'!DG1,2),"จ.","อ.","พ.","พฤ.","ศ.","ส.","อา."))</f>
        <v/>
      </c>
      <c r="DH7" s="262">
        <f>IF('ปฏิทิน'!DH1="","",CHOOSE(WEEKDAY('ปฏิทิน'!DH1,2),"จ.","อ.","พ.","พฤ.","ศ.","ส.","อา."))</f>
        <v/>
      </c>
      <c r="DI7" s="262">
        <f>IF('ปฏิทิน'!DI1="","",CHOOSE(WEEKDAY('ปฏิทิน'!DI1,2),"จ.","อ.","พ.","พฤ.","ศ.","ส.","อา."))</f>
        <v/>
      </c>
      <c r="DJ7" s="262">
        <f>IF('ปฏิทิน'!DJ1="","",CHOOSE(WEEKDAY('ปฏิทิน'!DJ1,2),"จ.","อ.","พ.","พฤ.","ศ.","ส.","อา."))</f>
        <v/>
      </c>
      <c r="DK7" s="262">
        <f>IF('ปฏิทิน'!DK1="","",CHOOSE(WEEKDAY('ปฏิทิน'!DK1,2),"จ.","อ.","พ.","พฤ.","ศ.","ส.","อา."))</f>
        <v/>
      </c>
      <c r="DL7" s="262">
        <f>IF('ปฏิทิน'!DL1="","",CHOOSE(WEEKDAY('ปฏิทิน'!DL1,2),"จ.","อ.","พ.","พฤ.","ศ.","ส.","อา."))</f>
        <v/>
      </c>
      <c r="DM7" s="262">
        <f>IF('ปฏิทิน'!DM1="","",CHOOSE(WEEKDAY('ปฏิทิน'!DM1,2),"จ.","อ.","พ.","พฤ.","ศ.","ส.","อา."))</f>
        <v/>
      </c>
      <c r="DN7" s="262">
        <f>IF('ปฏิทิน'!DN1="","",CHOOSE(WEEKDAY('ปฏิทิน'!DN1,2),"จ.","อ.","พ.","พฤ.","ศ.","ส.","อา."))</f>
        <v/>
      </c>
      <c r="DO7" s="262">
        <f>IF('ปฏิทิน'!DO1="","",CHOOSE(WEEKDAY('ปฏิทิน'!DO1,2),"จ.","อ.","พ.","พฤ.","ศ.","ส.","อา."))</f>
        <v/>
      </c>
      <c r="DP7" s="262">
        <f>IF('ปฏิทิน'!DP1="","",CHOOSE(WEEKDAY('ปฏิทิน'!DP1,2),"จ.","อ.","พ.","พฤ.","ศ.","ส.","อา."))</f>
        <v/>
      </c>
      <c r="DQ7" s="262">
        <f>IF('ปฏิทิน'!DQ1="","",CHOOSE(WEEKDAY('ปฏิทิน'!DQ1,2),"จ.","อ.","พ.","พฤ.","ศ.","ส.","อา."))</f>
        <v/>
      </c>
      <c r="DR7" s="262">
        <f>IF('ปฏิทิน'!DR1="","",CHOOSE(WEEKDAY('ปฏิทิน'!DR1,2),"จ.","อ.","พ.","พฤ.","ศ.","ส.","อา."))</f>
        <v/>
      </c>
      <c r="DS7" s="262">
        <f>IF('ปฏิทิน'!DS1="","",CHOOSE(WEEKDAY('ปฏิทิน'!DS1,2),"จ.","อ.","พ.","พฤ.","ศ.","ส.","อา."))</f>
        <v/>
      </c>
      <c r="DT7" s="262">
        <f>IF('ปฏิทิน'!DT1="","",CHOOSE(WEEKDAY('ปฏิทิน'!DT1,2),"จ.","อ.","พ.","พฤ.","ศ.","ส.","อา."))</f>
        <v/>
      </c>
      <c r="DU7" s="262">
        <f>IF('ปฏิทิน'!DU1="","",CHOOSE(WEEKDAY('ปฏิทิน'!DU1,2),"จ.","อ.","พ.","พฤ.","ศ.","ส.","อา."))</f>
        <v/>
      </c>
      <c r="DV7" s="262">
        <f>IF('ปฏิทิน'!DV1="","",CHOOSE(WEEKDAY('ปฏิทิน'!DV1,2),"จ.","อ.","พ.","พฤ.","ศ.","ส.","อา."))</f>
        <v/>
      </c>
      <c r="DW7" s="262">
        <f>IF('ปฏิทิน'!DW1="","",CHOOSE(WEEKDAY('ปฏิทิน'!DW1,2),"จ.","อ.","พ.","พฤ.","ศ.","ส.","อา."))</f>
        <v/>
      </c>
      <c r="DX7" s="262">
        <f>IF('ปฏิทิน'!DX1="","",CHOOSE(WEEKDAY('ปฏิทิน'!DX1,2),"จ.","อ.","พ.","พฤ.","ศ.","ส.","อา."))</f>
        <v/>
      </c>
      <c r="DY7" s="262">
        <f>IF('ปฏิทิน'!DY1="","",CHOOSE(WEEKDAY('ปฏิทิน'!DY1,2),"จ.","อ.","พ.","พฤ.","ศ.","ส.","อา."))</f>
        <v/>
      </c>
      <c r="DZ7" s="262">
        <f>IF('ปฏิทิน'!DZ1="","",CHOOSE(WEEKDAY('ปฏิทิน'!DZ1,2),"จ.","อ.","พ.","พฤ.","ศ.","ส.","อา."))</f>
        <v/>
      </c>
      <c r="EA7" s="262">
        <f>IF('ปฏิทิน'!EA1="","",CHOOSE(WEEKDAY('ปฏิทิน'!EA1,2),"จ.","อ.","พ.","พฤ.","ศ.","ส.","อา."))</f>
        <v/>
      </c>
      <c r="EB7" s="262">
        <f>IF('ปฏิทิน'!EB1="","",CHOOSE(WEEKDAY('ปฏิทิน'!EB1,2),"จ.","อ.","พ.","พฤ.","ศ.","ส.","อา."))</f>
        <v/>
      </c>
      <c r="EC7" s="262">
        <f>IF('ปฏิทิน'!EC1="","",CHOOSE(WEEKDAY('ปฏิทิน'!EC1,2),"จ.","อ.","พ.","พฤ.","ศ.","ส.","อา."))</f>
        <v/>
      </c>
      <c r="ED7" s="262">
        <f>IF('ปฏิทิน'!ED1="","",CHOOSE(WEEKDAY('ปฏิทิน'!ED1,2),"จ.","อ.","พ.","พฤ.","ศ.","ส.","อา."))</f>
        <v/>
      </c>
      <c r="EE7" s="262">
        <f>IF('ปฏิทิน'!EE1="","",CHOOSE(WEEKDAY('ปฏิทิน'!EE1,2),"จ.","อ.","พ.","พฤ.","ศ.","ส.","อา."))</f>
        <v/>
      </c>
      <c r="EF7" s="262">
        <f>IF('ปฏิทิน'!EF1="","",CHOOSE(WEEKDAY('ปฏิทิน'!EF1,2),"จ.","อ.","พ.","พฤ.","ศ.","ส.","อา."))</f>
        <v/>
      </c>
      <c r="EG7" s="263" t="n"/>
      <c r="EJ7" s="261">
        <f>IF('ปฏิทิน'!EJ1="","",CHOOSE(WEEKDAY('ปฏิทิน'!EJ1,2),"จ.","อ.","พ.","พฤ.","ศ.","ส.","อา."))</f>
        <v/>
      </c>
      <c r="EK7" s="262">
        <f>IF('ปฏิทิน'!EK1="","",CHOOSE(WEEKDAY('ปฏิทิน'!EK1,2),"จ.","อ.","พ.","พฤ.","ศ.","ส.","อา."))</f>
        <v/>
      </c>
      <c r="EL7" s="262">
        <f>IF('ปฏิทิน'!EL1="","",CHOOSE(WEEKDAY('ปฏิทิน'!EL1,2),"จ.","อ.","พ.","พฤ.","ศ.","ส.","อา."))</f>
        <v/>
      </c>
      <c r="EM7" s="262">
        <f>IF('ปฏิทิน'!EM1="","",CHOOSE(WEEKDAY('ปฏิทิน'!EM1,2),"จ.","อ.","พ.","พฤ.","ศ.","ส.","อา."))</f>
        <v/>
      </c>
      <c r="EN7" s="262">
        <f>IF('ปฏิทิน'!EN1="","",CHOOSE(WEEKDAY('ปฏิทิน'!EN1,2),"จ.","อ.","พ.","พฤ.","ศ.","ส.","อา."))</f>
        <v/>
      </c>
      <c r="EO7" s="262">
        <f>IF('ปฏิทิน'!EO1="","",CHOOSE(WEEKDAY('ปฏิทิน'!EO1,2),"จ.","อ.","พ.","พฤ.","ศ.","ส.","อา."))</f>
        <v/>
      </c>
      <c r="EP7" s="262">
        <f>IF('ปฏิทิน'!EP1="","",CHOOSE(WEEKDAY('ปฏิทิน'!EP1,2),"จ.","อ.","พ.","พฤ.","ศ.","ส.","อา."))</f>
        <v/>
      </c>
      <c r="EQ7" s="262">
        <f>IF('ปฏิทิน'!EQ1="","",CHOOSE(WEEKDAY('ปฏิทิน'!EQ1,2),"จ.","อ.","พ.","พฤ.","ศ.","ส.","อา."))</f>
        <v/>
      </c>
      <c r="ER7" s="262">
        <f>IF('ปฏิทิน'!ER1="","",CHOOSE(WEEKDAY('ปฏิทิน'!ER1,2),"จ.","อ.","พ.","พฤ.","ศ.","ส.","อา."))</f>
        <v/>
      </c>
      <c r="ES7" s="262">
        <f>IF('ปฏิทิน'!ES1="","",CHOOSE(WEEKDAY('ปฏิทิน'!ES1,2),"จ.","อ.","พ.","พฤ.","ศ.","ส.","อา."))</f>
        <v/>
      </c>
      <c r="ET7" s="262">
        <f>IF('ปฏิทิน'!ET1="","",CHOOSE(WEEKDAY('ปฏิทิน'!ET1,2),"จ.","อ.","พ.","พฤ.","ศ.","ส.","อา."))</f>
        <v/>
      </c>
      <c r="EU7" s="262">
        <f>IF('ปฏิทิน'!EU1="","",CHOOSE(WEEKDAY('ปฏิทิน'!EU1,2),"จ.","อ.","พ.","พฤ.","ศ.","ส.","อา."))</f>
        <v/>
      </c>
      <c r="EV7" s="262">
        <f>IF('ปฏิทิน'!EV1="","",CHOOSE(WEEKDAY('ปฏิทิน'!EV1,2),"จ.","อ.","พ.","พฤ.","ศ.","ส.","อา."))</f>
        <v/>
      </c>
      <c r="EW7" s="262">
        <f>IF('ปฏิทิน'!EW1="","",CHOOSE(WEEKDAY('ปฏิทิน'!EW1,2),"จ.","อ.","พ.","พฤ.","ศ.","ส.","อา."))</f>
        <v/>
      </c>
      <c r="EX7" s="262">
        <f>IF('ปฏิทิน'!EX1="","",CHOOSE(WEEKDAY('ปฏิทิน'!EX1,2),"จ.","อ.","พ.","พฤ.","ศ.","ส.","อา."))</f>
        <v/>
      </c>
      <c r="EY7" s="262">
        <f>IF('ปฏิทิน'!EY1="","",CHOOSE(WEEKDAY('ปฏิทิน'!EY1,2),"จ.","อ.","พ.","พฤ.","ศ.","ส.","อา."))</f>
        <v/>
      </c>
      <c r="EZ7" s="262">
        <f>IF('ปฏิทิน'!EZ1="","",CHOOSE(WEEKDAY('ปฏิทิน'!EZ1,2),"จ.","อ.","พ.","พฤ.","ศ.","ส.","อา."))</f>
        <v/>
      </c>
      <c r="FA7" s="262">
        <f>IF('ปฏิทิน'!FA1="","",CHOOSE(WEEKDAY('ปฏิทิน'!FA1,2),"จ.","อ.","พ.","พฤ.","ศ.","ส.","อา."))</f>
        <v/>
      </c>
      <c r="FB7" s="262">
        <f>IF('ปฏิทิน'!FB1="","",CHOOSE(WEEKDAY('ปฏิทิน'!FB1,2),"จ.","อ.","พ.","พฤ.","ศ.","ส.","อา."))</f>
        <v/>
      </c>
      <c r="FC7" s="262">
        <f>IF('ปฏิทิน'!FC1="","",CHOOSE(WEEKDAY('ปฏิทิน'!FC1,2),"จ.","อ.","พ.","พฤ.","ศ.","ส.","อา."))</f>
        <v/>
      </c>
      <c r="FD7" s="262">
        <f>IF('ปฏิทิน'!FD1="","",CHOOSE(WEEKDAY('ปฏิทิน'!FD1,2),"จ.","อ.","พ.","พฤ.","ศ.","ส.","อา."))</f>
        <v/>
      </c>
      <c r="FE7" s="262">
        <f>IF('ปฏิทิน'!FE1="","",CHOOSE(WEEKDAY('ปฏิทิน'!FE1,2),"จ.","อ.","พ.","พฤ.","ศ.","ส.","อา."))</f>
        <v/>
      </c>
      <c r="FF7" s="262">
        <f>IF('ปฏิทิน'!FF1="","",CHOOSE(WEEKDAY('ปฏิทิน'!FF1,2),"จ.","อ.","พ.","พฤ.","ศ.","ส.","อา."))</f>
        <v/>
      </c>
      <c r="FG7" s="262">
        <f>IF('ปฏิทิน'!FG1="","",CHOOSE(WEEKDAY('ปฏิทิน'!FG1,2),"จ.","อ.","พ.","พฤ.","ศ.","ส.","อา."))</f>
        <v/>
      </c>
      <c r="FH7" s="262">
        <f>IF('ปฏิทิน'!FH1="","",CHOOSE(WEEKDAY('ปฏิทิน'!FH1,2),"จ.","อ.","พ.","พฤ.","ศ.","ส.","อา."))</f>
        <v/>
      </c>
      <c r="FI7" s="262">
        <f>IF('ปฏิทิน'!FI1="","",CHOOSE(WEEKDAY('ปฏิทิน'!FI1,2),"จ.","อ.","พ.","พฤ.","ศ.","ส.","อา."))</f>
        <v/>
      </c>
      <c r="FJ7" s="262">
        <f>IF('ปฏิทิน'!FJ1="","",CHOOSE(WEEKDAY('ปฏิทิน'!FJ1,2),"จ.","อ.","พ.","พฤ.","ศ.","ส.","อา."))</f>
        <v/>
      </c>
      <c r="FK7" s="262">
        <f>IF('ปฏิทิน'!FK1="","",CHOOSE(WEEKDAY('ปฏิทิน'!FK1,2),"จ.","อ.","พ.","พฤ.","ศ.","ส.","อา."))</f>
        <v/>
      </c>
      <c r="FL7" s="262">
        <f>IF('ปฏิทิน'!FL1="","",CHOOSE(WEEKDAY('ปฏิทิน'!FL1,2),"จ.","อ.","พ.","พฤ.","ศ.","ส.","อา."))</f>
        <v/>
      </c>
      <c r="FM7" s="262">
        <f>IF('ปฏิทิน'!FM1="","",CHOOSE(WEEKDAY('ปฏิทิน'!FM1,2),"จ.","อ.","พ.","พฤ.","ศ.","ส.","อา."))</f>
        <v/>
      </c>
      <c r="FN7" s="262">
        <f>IF('ปฏิทิน'!FN1="","",CHOOSE(WEEKDAY('ปฏิทิน'!FN1,2),"จ.","อ.","พ.","พฤ.","ศ.","ส.","อา."))</f>
        <v/>
      </c>
      <c r="FO7" s="263" t="n"/>
      <c r="FR7" s="261">
        <f>IF('ปฏิทิน'!FR1="","",CHOOSE(WEEKDAY('ปฏิทิน'!FR1,2),"จ.","อ.","พ.","พฤ.","ศ.","ส.","อา."))</f>
        <v/>
      </c>
      <c r="FS7" s="262">
        <f>IF('ปฏิทิน'!FS1="","",CHOOSE(WEEKDAY('ปฏิทิน'!FS1,2),"จ.","อ.","พ.","พฤ.","ศ.","ส.","อา."))</f>
        <v/>
      </c>
      <c r="FT7" s="262">
        <f>IF('ปฏิทิน'!FT1="","",CHOOSE(WEEKDAY('ปฏิทิน'!FT1,2),"จ.","อ.","พ.","พฤ.","ศ.","ส.","อา."))</f>
        <v/>
      </c>
      <c r="FU7" s="262">
        <f>IF('ปฏิทิน'!FU1="","",CHOOSE(WEEKDAY('ปฏิทิน'!FU1,2),"จ.","อ.","พ.","พฤ.","ศ.","ส.","อา."))</f>
        <v/>
      </c>
      <c r="FV7" s="262">
        <f>IF('ปฏิทิน'!FV1="","",CHOOSE(WEEKDAY('ปฏิทิน'!FV1,2),"จ.","อ.","พ.","พฤ.","ศ.","ส.","อา."))</f>
        <v/>
      </c>
      <c r="FW7" s="262">
        <f>IF('ปฏิทิน'!FW1="","",CHOOSE(WEEKDAY('ปฏิทิน'!FW1,2),"จ.","อ.","พ.","พฤ.","ศ.","ส.","อา."))</f>
        <v/>
      </c>
      <c r="FX7" s="262">
        <f>IF('ปฏิทิน'!FX1="","",CHOOSE(WEEKDAY('ปฏิทิน'!FX1,2),"จ.","อ.","พ.","พฤ.","ศ.","ส.","อา."))</f>
        <v/>
      </c>
      <c r="FY7" s="262">
        <f>IF('ปฏิทิน'!FY1="","",CHOOSE(WEEKDAY('ปฏิทิน'!FY1,2),"จ.","อ.","พ.","พฤ.","ศ.","ส.","อา."))</f>
        <v/>
      </c>
      <c r="FZ7" s="262">
        <f>IF('ปฏิทิน'!FZ1="","",CHOOSE(WEEKDAY('ปฏิทิน'!FZ1,2),"จ.","อ.","พ.","พฤ.","ศ.","ส.","อา."))</f>
        <v/>
      </c>
      <c r="GA7" s="262">
        <f>IF('ปฏิทิน'!GA1="","",CHOOSE(WEEKDAY('ปฏิทิน'!GA1,2),"จ.","อ.","พ.","พฤ.","ศ.","ส.","อา."))</f>
        <v/>
      </c>
      <c r="GB7" s="262">
        <f>IF('ปฏิทิน'!GB1="","",CHOOSE(WEEKDAY('ปฏิทิน'!GB1,2),"จ.","อ.","พ.","พฤ.","ศ.","ส.","อา."))</f>
        <v/>
      </c>
      <c r="GC7" s="262">
        <f>IF('ปฏิทิน'!GC1="","",CHOOSE(WEEKDAY('ปฏิทิน'!GC1,2),"จ.","อ.","พ.","พฤ.","ศ.","ส.","อา."))</f>
        <v/>
      </c>
      <c r="GD7" s="262">
        <f>IF('ปฏิทิน'!GD1="","",CHOOSE(WEEKDAY('ปฏิทิน'!GD1,2),"จ.","อ.","พ.","พฤ.","ศ.","ส.","อา."))</f>
        <v/>
      </c>
      <c r="GE7" s="262">
        <f>IF('ปฏิทิน'!GE1="","",CHOOSE(WEEKDAY('ปฏิทิน'!GE1,2),"จ.","อ.","พ.","พฤ.","ศ.","ส.","อา."))</f>
        <v/>
      </c>
      <c r="GF7" s="262">
        <f>IF('ปฏิทิน'!GF1="","",CHOOSE(WEEKDAY('ปฏิทิน'!GF1,2),"จ.","อ.","พ.","พฤ.","ศ.","ส.","อา."))</f>
        <v/>
      </c>
      <c r="GG7" s="262">
        <f>IF('ปฏิทิน'!GG1="","",CHOOSE(WEEKDAY('ปฏิทิน'!GG1,2),"จ.","อ.","พ.","พฤ.","ศ.","ส.","อา."))</f>
        <v/>
      </c>
      <c r="GH7" s="262">
        <f>IF('ปฏิทิน'!GH1="","",CHOOSE(WEEKDAY('ปฏิทิน'!GH1,2),"จ.","อ.","พ.","พฤ.","ศ.","ส.","อา."))</f>
        <v/>
      </c>
      <c r="GI7" s="262">
        <f>IF('ปฏิทิน'!GI1="","",CHOOSE(WEEKDAY('ปฏิทิน'!GI1,2),"จ.","อ.","พ.","พฤ.","ศ.","ส.","อา."))</f>
        <v/>
      </c>
      <c r="GJ7" s="262">
        <f>IF('ปฏิทิน'!GJ1="","",CHOOSE(WEEKDAY('ปฏิทิน'!GJ1,2),"จ.","อ.","พ.","พฤ.","ศ.","ส.","อา."))</f>
        <v/>
      </c>
      <c r="GK7" s="262">
        <f>IF('ปฏิทิน'!GK1="","",CHOOSE(WEEKDAY('ปฏิทิน'!GK1,2),"จ.","อ.","พ.","พฤ.","ศ.","ส.","อา."))</f>
        <v/>
      </c>
      <c r="GL7" s="262">
        <f>IF('ปฏิทิน'!GL1="","",CHOOSE(WEEKDAY('ปฏิทิน'!GL1,2),"จ.","อ.","พ.","พฤ.","ศ.","ส.","อา."))</f>
        <v/>
      </c>
      <c r="GM7" s="262">
        <f>IF('ปฏิทิน'!GM1="","",CHOOSE(WEEKDAY('ปฏิทิน'!GM1,2),"จ.","อ.","พ.","พฤ.","ศ.","ส.","อา."))</f>
        <v/>
      </c>
      <c r="GN7" s="262">
        <f>IF('ปฏิทิน'!GN1="","",CHOOSE(WEEKDAY('ปฏิทิน'!GN1,2),"จ.","อ.","พ.","พฤ.","ศ.","ส.","อา."))</f>
        <v/>
      </c>
      <c r="GO7" s="262">
        <f>IF('ปฏิทิน'!GO1="","",CHOOSE(WEEKDAY('ปฏิทิน'!GO1,2),"จ.","อ.","พ.","พฤ.","ศ.","ส.","อา."))</f>
        <v/>
      </c>
      <c r="GP7" s="262">
        <f>IF('ปฏิทิน'!GP1="","",CHOOSE(WEEKDAY('ปฏิทิน'!GP1,2),"จ.","อ.","พ.","พฤ.","ศ.","ส.","อา."))</f>
        <v/>
      </c>
      <c r="GQ7" s="262">
        <f>IF('ปฏิทิน'!GQ1="","",CHOOSE(WEEKDAY('ปฏิทิน'!GQ1,2),"จ.","อ.","พ.","พฤ.","ศ.","ส.","อา."))</f>
        <v/>
      </c>
      <c r="GR7" s="262">
        <f>IF('ปฏิทิน'!GR1="","",CHOOSE(WEEKDAY('ปฏิทิน'!GR1,2),"จ.","อ.","พ.","พฤ.","ศ.","ส.","อา."))</f>
        <v/>
      </c>
      <c r="GS7" s="262">
        <f>IF('ปฏิทิน'!GS1="","",CHOOSE(WEEKDAY('ปฏิทิน'!GS1,2),"จ.","อ.","พ.","พฤ.","ศ.","ส.","อา."))</f>
        <v/>
      </c>
      <c r="GT7" s="262">
        <f>IF('ปฏิทิน'!GT1="","",CHOOSE(WEEKDAY('ปฏิทิน'!GT1,2),"จ.","อ.","พ.","พฤ.","ศ.","ส.","อา."))</f>
        <v/>
      </c>
      <c r="GU7" s="262">
        <f>IF('ปฏิทิน'!GU1="","",CHOOSE(WEEKDAY('ปฏิทิน'!GU1,2),"จ.","อ.","พ.","พฤ.","ศ.","ส.","อา."))</f>
        <v/>
      </c>
      <c r="GV7" s="262">
        <f>IF('ปฏิทิน'!GV1="","",CHOOSE(WEEKDAY('ปฏิทิน'!GV1,2),"จ.","อ.","พ.","พฤ.","ศ.","ส.","อา."))</f>
        <v/>
      </c>
      <c r="GW7" s="263" t="n"/>
    </row>
    <row r="8" ht="64" customHeight="1">
      <c r="D8" s="264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263" t="n"/>
      <c r="AL8" s="264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263" t="n"/>
      <c r="BT8" s="264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263" t="n"/>
      <c r="DB8" s="264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263" t="n"/>
      <c r="EJ8" s="264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263" t="n"/>
      <c r="FR8" s="264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263" t="n"/>
    </row>
    <row r="9">
      <c r="A9" s="218" t="n">
        <v>1</v>
      </c>
      <c r="B9" s="219">
        <f>'ข้อมูลนักเรียน'!T9</f>
        <v/>
      </c>
      <c r="C9" s="266">
        <f>IF(B9="","",IFERROR((COUNTIF(D9:GY9,"ม")+COUNTIF(D9:GY9,"ส"))/(COUNTIF(D9:GY9,"ม")+COUNTIF(D9:GY9,"ส")+COUNTIF(D9:GY9,"ล")+COUNTIF(D9:GY9,"ป")+COUNTIF(D9:GY9,"ข")),""))</f>
        <v/>
      </c>
      <c r="D9" s="26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268">
        <f>IF($B9="","",COUNTIF(D9:AH9,"ม")+COUNTIF(D9:AH9,"ส"))</f>
        <v/>
      </c>
      <c r="AJ9" s="269">
        <f>IF($B9="","",COUNTIF(D9:AH9,"ล")+COUNTIF(D9:AH9,"ป"))</f>
        <v/>
      </c>
      <c r="AK9" s="270">
        <f>IF($B9="","",COUNTIF(D9:AH9,"ข"))</f>
        <v/>
      </c>
      <c r="AL9" s="26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268">
        <f>IF($B9="","",COUNTIF(AL9:BP9,"ม")+COUNTIF(AL9:BP9,"ส"))</f>
        <v/>
      </c>
      <c r="BR9" s="269">
        <f>IF($B9="","",COUNTIF(AL9:BP9,"ล")+COUNTIF(AL9:BP9,"ป"))</f>
        <v/>
      </c>
      <c r="BS9" s="270">
        <f>IF($B9="","",COUNTIF(AL9:BP9,"ข"))</f>
        <v/>
      </c>
      <c r="BT9" s="26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268">
        <f>IF($B9="","",COUNTIF(BT9:CX9,"ม")+COUNTIF(BT9:CX9,"ส"))</f>
        <v/>
      </c>
      <c r="CZ9" s="269">
        <f>IF($B9="","",COUNTIF(BT9:CX9,"ล")+COUNTIF(BT9:CX9,"ป"))</f>
        <v/>
      </c>
      <c r="DA9" s="270">
        <f>IF($B9="","",COUNTIF(BT9:CX9,"ข"))</f>
        <v/>
      </c>
      <c r="DB9" s="26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268">
        <f>IF($B9="","",COUNTIF(DB9:EF9,"ม")+COUNTIF(DB9:EF9,"ส"))</f>
        <v/>
      </c>
      <c r="EH9" s="269">
        <f>IF($B9="","",COUNTIF(DB9:EF9,"ล")+COUNTIF(DB9:EF9,"ป"))</f>
        <v/>
      </c>
      <c r="EI9" s="270">
        <f>IF($B9="","",COUNTIF(DB9:EF9,"ข"))</f>
        <v/>
      </c>
      <c r="EJ9" s="26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268">
        <f>IF($B9="","",COUNTIF(EJ9:FN9,"ม")+COUNTIF(EJ9:FN9,"ส"))</f>
        <v/>
      </c>
      <c r="FP9" s="269">
        <f>IF($B9="","",COUNTIF(EJ9:FN9,"ล")+COUNTIF(EJ9:FN9,"ป"))</f>
        <v/>
      </c>
      <c r="FQ9" s="270">
        <f>IF($B9="","",COUNTIF(EJ9:FN9,"ข"))</f>
        <v/>
      </c>
      <c r="FR9" s="267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268">
        <f>IF($B9="","",COUNTIF(FR9:GV9,"ม")+COUNTIF(FR9:GV9,"ส"))</f>
        <v/>
      </c>
      <c r="GX9" s="269">
        <f>IF($B9="","",COUNTIF(FR9:GV9,"ล")+COUNTIF(FR9:GV9,"ป"))</f>
        <v/>
      </c>
      <c r="GY9" s="270">
        <f>IF($B9="","",COUNTIF(FR9:GV9,"ข"))</f>
        <v/>
      </c>
    </row>
    <row r="10">
      <c r="A10" s="226" t="n">
        <v>2</v>
      </c>
      <c r="B10" s="227">
        <f>'ข้อมูลนักเรียน'!T10</f>
        <v/>
      </c>
      <c r="C10" s="266">
        <f>IF(B10="","",IFERROR((COUNTIF(D10:GY10,"ม")+COUNTIF(D10:GY10,"ส"))/(COUNTIF(D10:GY10,"ม")+COUNTIF(D10:GY10,"ส")+COUNTIF(D10:GY10,"ล")+COUNTIF(D10:GY10,"ป")+COUNTIF(D10:GY10,"ข")),""))</f>
        <v/>
      </c>
      <c r="D10" s="26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268">
        <f>IF($B10="","",COUNTIF(D10:AH10,"ม")+COUNTIF(D10:AH10,"ส"))</f>
        <v/>
      </c>
      <c r="AJ10" s="269">
        <f>IF($B10="","",COUNTIF(D10:AH10,"ล")+COUNTIF(D10:AH10,"ป"))</f>
        <v/>
      </c>
      <c r="AK10" s="270">
        <f>IF($B10="","",COUNTIF(D10:AH10,"ข"))</f>
        <v/>
      </c>
      <c r="AL10" s="26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268">
        <f>IF($B10="","",COUNTIF(AL10:BP10,"ม")+COUNTIF(AL10:BP10,"ส"))</f>
        <v/>
      </c>
      <c r="BR10" s="269">
        <f>IF($B10="","",COUNTIF(AL10:BP10,"ล")+COUNTIF(AL10:BP10,"ป"))</f>
        <v/>
      </c>
      <c r="BS10" s="270">
        <f>IF($B10="","",COUNTIF(AL10:BP10,"ข"))</f>
        <v/>
      </c>
      <c r="BT10" s="26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268">
        <f>IF($B10="","",COUNTIF(BT10:CX10,"ม")+COUNTIF(BT10:CX10,"ส"))</f>
        <v/>
      </c>
      <c r="CZ10" s="269">
        <f>IF($B10="","",COUNTIF(BT10:CX10,"ล")+COUNTIF(BT10:CX10,"ป"))</f>
        <v/>
      </c>
      <c r="DA10" s="270">
        <f>IF($B10="","",COUNTIF(BT10:CX10,"ข"))</f>
        <v/>
      </c>
      <c r="DB10" s="26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268">
        <f>IF($B10="","",COUNTIF(DB10:EF10,"ม")+COUNTIF(DB10:EF10,"ส"))</f>
        <v/>
      </c>
      <c r="EH10" s="269">
        <f>IF($B10="","",COUNTIF(DB10:EF10,"ล")+COUNTIF(DB10:EF10,"ป"))</f>
        <v/>
      </c>
      <c r="EI10" s="270">
        <f>IF($B10="","",COUNTIF(DB10:EF10,"ข"))</f>
        <v/>
      </c>
      <c r="EJ10" s="26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268">
        <f>IF($B10="","",COUNTIF(EJ10:FN10,"ม")+COUNTIF(EJ10:FN10,"ส"))</f>
        <v/>
      </c>
      <c r="FP10" s="269">
        <f>IF($B10="","",COUNTIF(EJ10:FN10,"ล")+COUNTIF(EJ10:FN10,"ป"))</f>
        <v/>
      </c>
      <c r="FQ10" s="270">
        <f>IF($B10="","",COUNTIF(EJ10:FN10,"ข"))</f>
        <v/>
      </c>
      <c r="FR10" s="267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268">
        <f>IF($B10="","",COUNTIF(FR10:GV10,"ม")+COUNTIF(FR10:GV10,"ส"))</f>
        <v/>
      </c>
      <c r="GX10" s="269">
        <f>IF($B10="","",COUNTIF(FR10:GV10,"ล")+COUNTIF(FR10:GV10,"ป"))</f>
        <v/>
      </c>
      <c r="GY10" s="270">
        <f>IF($B10="","",COUNTIF(FR10:GV10,"ข"))</f>
        <v/>
      </c>
    </row>
    <row r="11">
      <c r="A11" s="218" t="n">
        <v>3</v>
      </c>
      <c r="B11" s="219">
        <f>'ข้อมูลนักเรียน'!T11</f>
        <v/>
      </c>
      <c r="C11" s="266">
        <f>IF(B11="","",IFERROR((COUNTIF(D11:GY11,"ม")+COUNTIF(D11:GY11,"ส"))/(COUNTIF(D11:GY11,"ม")+COUNTIF(D11:GY11,"ส")+COUNTIF(D11:GY11,"ล")+COUNTIF(D11:GY11,"ป")+COUNTIF(D11:GY11,"ข")),""))</f>
        <v/>
      </c>
      <c r="D11" s="26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268">
        <f>IF($B11="","",COUNTIF(D11:AH11,"ม")+COUNTIF(D11:AH11,"ส"))</f>
        <v/>
      </c>
      <c r="AJ11" s="269">
        <f>IF($B11="","",COUNTIF(D11:AH11,"ล")+COUNTIF(D11:AH11,"ป"))</f>
        <v/>
      </c>
      <c r="AK11" s="270">
        <f>IF($B11="","",COUNTIF(D11:AH11,"ข"))</f>
        <v/>
      </c>
      <c r="AL11" s="26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268">
        <f>IF($B11="","",COUNTIF(AL11:BP11,"ม")+COUNTIF(AL11:BP11,"ส"))</f>
        <v/>
      </c>
      <c r="BR11" s="269">
        <f>IF($B11="","",COUNTIF(AL11:BP11,"ล")+COUNTIF(AL11:BP11,"ป"))</f>
        <v/>
      </c>
      <c r="BS11" s="270">
        <f>IF($B11="","",COUNTIF(AL11:BP11,"ข"))</f>
        <v/>
      </c>
      <c r="BT11" s="26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268">
        <f>IF($B11="","",COUNTIF(BT11:CX11,"ม")+COUNTIF(BT11:CX11,"ส"))</f>
        <v/>
      </c>
      <c r="CZ11" s="269">
        <f>IF($B11="","",COUNTIF(BT11:CX11,"ล")+COUNTIF(BT11:CX11,"ป"))</f>
        <v/>
      </c>
      <c r="DA11" s="270">
        <f>IF($B11="","",COUNTIF(BT11:CX11,"ข"))</f>
        <v/>
      </c>
      <c r="DB11" s="26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268">
        <f>IF($B11="","",COUNTIF(DB11:EF11,"ม")+COUNTIF(DB11:EF11,"ส"))</f>
        <v/>
      </c>
      <c r="EH11" s="269">
        <f>IF($B11="","",COUNTIF(DB11:EF11,"ล")+COUNTIF(DB11:EF11,"ป"))</f>
        <v/>
      </c>
      <c r="EI11" s="270">
        <f>IF($B11="","",COUNTIF(DB11:EF11,"ข"))</f>
        <v/>
      </c>
      <c r="EJ11" s="26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268">
        <f>IF($B11="","",COUNTIF(EJ11:FN11,"ม")+COUNTIF(EJ11:FN11,"ส"))</f>
        <v/>
      </c>
      <c r="FP11" s="269">
        <f>IF($B11="","",COUNTIF(EJ11:FN11,"ล")+COUNTIF(EJ11:FN11,"ป"))</f>
        <v/>
      </c>
      <c r="FQ11" s="270">
        <f>IF($B11="","",COUNTIF(EJ11:FN11,"ข"))</f>
        <v/>
      </c>
      <c r="FR11" s="267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268">
        <f>IF($B11="","",COUNTIF(FR11:GV11,"ม")+COUNTIF(FR11:GV11,"ส"))</f>
        <v/>
      </c>
      <c r="GX11" s="269">
        <f>IF($B11="","",COUNTIF(FR11:GV11,"ล")+COUNTIF(FR11:GV11,"ป"))</f>
        <v/>
      </c>
      <c r="GY11" s="270">
        <f>IF($B11="","",COUNTIF(FR11:GV11,"ข"))</f>
        <v/>
      </c>
    </row>
    <row r="12">
      <c r="A12" s="226" t="n">
        <v>4</v>
      </c>
      <c r="B12" s="227">
        <f>'ข้อมูลนักเรียน'!T12</f>
        <v/>
      </c>
      <c r="C12" s="266">
        <f>IF(B12="","",IFERROR((COUNTIF(D12:GY12,"ม")+COUNTIF(D12:GY12,"ส"))/(COUNTIF(D12:GY12,"ม")+COUNTIF(D12:GY12,"ส")+COUNTIF(D12:GY12,"ล")+COUNTIF(D12:GY12,"ป")+COUNTIF(D12:GY12,"ข")),""))</f>
        <v/>
      </c>
      <c r="D12" s="26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268">
        <f>IF($B12="","",COUNTIF(D12:AH12,"ม")+COUNTIF(D12:AH12,"ส"))</f>
        <v/>
      </c>
      <c r="AJ12" s="269">
        <f>IF($B12="","",COUNTIF(D12:AH12,"ล")+COUNTIF(D12:AH12,"ป"))</f>
        <v/>
      </c>
      <c r="AK12" s="270">
        <f>IF($B12="","",COUNTIF(D12:AH12,"ข"))</f>
        <v/>
      </c>
      <c r="AL12" s="26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268">
        <f>IF($B12="","",COUNTIF(AL12:BP12,"ม")+COUNTIF(AL12:BP12,"ส"))</f>
        <v/>
      </c>
      <c r="BR12" s="269">
        <f>IF($B12="","",COUNTIF(AL12:BP12,"ล")+COUNTIF(AL12:BP12,"ป"))</f>
        <v/>
      </c>
      <c r="BS12" s="270">
        <f>IF($B12="","",COUNTIF(AL12:BP12,"ข"))</f>
        <v/>
      </c>
      <c r="BT12" s="26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268">
        <f>IF($B12="","",COUNTIF(BT12:CX12,"ม")+COUNTIF(BT12:CX12,"ส"))</f>
        <v/>
      </c>
      <c r="CZ12" s="269">
        <f>IF($B12="","",COUNTIF(BT12:CX12,"ล")+COUNTIF(BT12:CX12,"ป"))</f>
        <v/>
      </c>
      <c r="DA12" s="270">
        <f>IF($B12="","",COUNTIF(BT12:CX12,"ข"))</f>
        <v/>
      </c>
      <c r="DB12" s="26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268">
        <f>IF($B12="","",COUNTIF(DB12:EF12,"ม")+COUNTIF(DB12:EF12,"ส"))</f>
        <v/>
      </c>
      <c r="EH12" s="269">
        <f>IF($B12="","",COUNTIF(DB12:EF12,"ล")+COUNTIF(DB12:EF12,"ป"))</f>
        <v/>
      </c>
      <c r="EI12" s="270">
        <f>IF($B12="","",COUNTIF(DB12:EF12,"ข"))</f>
        <v/>
      </c>
      <c r="EJ12" s="26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268">
        <f>IF($B12="","",COUNTIF(EJ12:FN12,"ม")+COUNTIF(EJ12:FN12,"ส"))</f>
        <v/>
      </c>
      <c r="FP12" s="269">
        <f>IF($B12="","",COUNTIF(EJ12:FN12,"ล")+COUNTIF(EJ12:FN12,"ป"))</f>
        <v/>
      </c>
      <c r="FQ12" s="270">
        <f>IF($B12="","",COUNTIF(EJ12:FN12,"ข"))</f>
        <v/>
      </c>
      <c r="FR12" s="267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268">
        <f>IF($B12="","",COUNTIF(FR12:GV12,"ม")+COUNTIF(FR12:GV12,"ส"))</f>
        <v/>
      </c>
      <c r="GX12" s="269">
        <f>IF($B12="","",COUNTIF(FR12:GV12,"ล")+COUNTIF(FR12:GV12,"ป"))</f>
        <v/>
      </c>
      <c r="GY12" s="270">
        <f>IF($B12="","",COUNTIF(FR12:GV12,"ข"))</f>
        <v/>
      </c>
    </row>
    <row r="13">
      <c r="A13" s="218" t="n">
        <v>5</v>
      </c>
      <c r="B13" s="219">
        <f>'ข้อมูลนักเรียน'!T13</f>
        <v/>
      </c>
      <c r="C13" s="266">
        <f>IF(B13="","",IFERROR((COUNTIF(D13:GY13,"ม")+COUNTIF(D13:GY13,"ส"))/(COUNTIF(D13:GY13,"ม")+COUNTIF(D13:GY13,"ส")+COUNTIF(D13:GY13,"ล")+COUNTIF(D13:GY13,"ป")+COUNTIF(D13:GY13,"ข")),""))</f>
        <v/>
      </c>
      <c r="D13" s="26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268">
        <f>IF($B13="","",COUNTIF(D13:AH13,"ม")+COUNTIF(D13:AH13,"ส"))</f>
        <v/>
      </c>
      <c r="AJ13" s="269">
        <f>IF($B13="","",COUNTIF(D13:AH13,"ล")+COUNTIF(D13:AH13,"ป"))</f>
        <v/>
      </c>
      <c r="AK13" s="270">
        <f>IF($B13="","",COUNTIF(D13:AH13,"ข"))</f>
        <v/>
      </c>
      <c r="AL13" s="26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268">
        <f>IF($B13="","",COUNTIF(AL13:BP13,"ม")+COUNTIF(AL13:BP13,"ส"))</f>
        <v/>
      </c>
      <c r="BR13" s="269">
        <f>IF($B13="","",COUNTIF(AL13:BP13,"ล")+COUNTIF(AL13:BP13,"ป"))</f>
        <v/>
      </c>
      <c r="BS13" s="270">
        <f>IF($B13="","",COUNTIF(AL13:BP13,"ข"))</f>
        <v/>
      </c>
      <c r="BT13" s="26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268">
        <f>IF($B13="","",COUNTIF(BT13:CX13,"ม")+COUNTIF(BT13:CX13,"ส"))</f>
        <v/>
      </c>
      <c r="CZ13" s="269">
        <f>IF($B13="","",COUNTIF(BT13:CX13,"ล")+COUNTIF(BT13:CX13,"ป"))</f>
        <v/>
      </c>
      <c r="DA13" s="270">
        <f>IF($B13="","",COUNTIF(BT13:CX13,"ข"))</f>
        <v/>
      </c>
      <c r="DB13" s="26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268">
        <f>IF($B13="","",COUNTIF(DB13:EF13,"ม")+COUNTIF(DB13:EF13,"ส"))</f>
        <v/>
      </c>
      <c r="EH13" s="269">
        <f>IF($B13="","",COUNTIF(DB13:EF13,"ล")+COUNTIF(DB13:EF13,"ป"))</f>
        <v/>
      </c>
      <c r="EI13" s="270">
        <f>IF($B13="","",COUNTIF(DB13:EF13,"ข"))</f>
        <v/>
      </c>
      <c r="EJ13" s="26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268">
        <f>IF($B13="","",COUNTIF(EJ13:FN13,"ม")+COUNTIF(EJ13:FN13,"ส"))</f>
        <v/>
      </c>
      <c r="FP13" s="269">
        <f>IF($B13="","",COUNTIF(EJ13:FN13,"ล")+COUNTIF(EJ13:FN13,"ป"))</f>
        <v/>
      </c>
      <c r="FQ13" s="270">
        <f>IF($B13="","",COUNTIF(EJ13:FN13,"ข"))</f>
        <v/>
      </c>
      <c r="FR13" s="267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268">
        <f>IF($B13="","",COUNTIF(FR13:GV13,"ม")+COUNTIF(FR13:GV13,"ส"))</f>
        <v/>
      </c>
      <c r="GX13" s="269">
        <f>IF($B13="","",COUNTIF(FR13:GV13,"ล")+COUNTIF(FR13:GV13,"ป"))</f>
        <v/>
      </c>
      <c r="GY13" s="270">
        <f>IF($B13="","",COUNTIF(FR13:GV13,"ข"))</f>
        <v/>
      </c>
    </row>
    <row r="14">
      <c r="A14" s="271" t="inlineStr">
        <is>
          <t>มาเรียน (คน)</t>
        </is>
      </c>
      <c r="B14" s="184" t="n"/>
      <c r="C14" s="184" t="n"/>
      <c r="D14" s="272">
        <f>IF(D$4&lt;&gt;1,"",COUNTIF(D9:D13,"ม")+COUNTIF(D9:D13,"ส"))</f>
        <v/>
      </c>
      <c r="E14" s="273">
        <f>IF(E$4&lt;&gt;1,"",COUNTIF(E9:E13,"ม")+COUNTIF(E9:E13,"ส"))</f>
        <v/>
      </c>
      <c r="F14" s="273">
        <f>IF(F$4&lt;&gt;1,"",COUNTIF(F9:F13,"ม")+COUNTIF(F9:F13,"ส"))</f>
        <v/>
      </c>
      <c r="G14" s="273">
        <f>IF(G$4&lt;&gt;1,"",COUNTIF(G9:G13,"ม")+COUNTIF(G9:G13,"ส"))</f>
        <v/>
      </c>
      <c r="H14" s="273">
        <f>IF(H$4&lt;&gt;1,"",COUNTIF(H9:H13,"ม")+COUNTIF(H9:H13,"ส"))</f>
        <v/>
      </c>
      <c r="I14" s="273">
        <f>IF(I$4&lt;&gt;1,"",COUNTIF(I9:I13,"ม")+COUNTIF(I9:I13,"ส"))</f>
        <v/>
      </c>
      <c r="J14" s="273">
        <f>IF(J$4&lt;&gt;1,"",COUNTIF(J9:J13,"ม")+COUNTIF(J9:J13,"ส"))</f>
        <v/>
      </c>
      <c r="K14" s="273">
        <f>IF(K$4&lt;&gt;1,"",COUNTIF(K9:K13,"ม")+COUNTIF(K9:K13,"ส"))</f>
        <v/>
      </c>
      <c r="L14" s="273">
        <f>IF(L$4&lt;&gt;1,"",COUNTIF(L9:L13,"ม")+COUNTIF(L9:L13,"ส"))</f>
        <v/>
      </c>
      <c r="M14" s="273">
        <f>IF(M$4&lt;&gt;1,"",COUNTIF(M9:M13,"ม")+COUNTIF(M9:M13,"ส"))</f>
        <v/>
      </c>
      <c r="N14" s="273">
        <f>IF(N$4&lt;&gt;1,"",COUNTIF(N9:N13,"ม")+COUNTIF(N9:N13,"ส"))</f>
        <v/>
      </c>
      <c r="O14" s="273">
        <f>IF(O$4&lt;&gt;1,"",COUNTIF(O9:O13,"ม")+COUNTIF(O9:O13,"ส"))</f>
        <v/>
      </c>
      <c r="P14" s="273">
        <f>IF(P$4&lt;&gt;1,"",COUNTIF(P9:P13,"ม")+COUNTIF(P9:P13,"ส"))</f>
        <v/>
      </c>
      <c r="Q14" s="273">
        <f>IF(Q$4&lt;&gt;1,"",COUNTIF(Q9:Q13,"ม")+COUNTIF(Q9:Q13,"ส"))</f>
        <v/>
      </c>
      <c r="R14" s="273">
        <f>IF(R$4&lt;&gt;1,"",COUNTIF(R9:R13,"ม")+COUNTIF(R9:R13,"ส"))</f>
        <v/>
      </c>
      <c r="S14" s="273">
        <f>IF(S$4&lt;&gt;1,"",COUNTIF(S9:S13,"ม")+COUNTIF(S9:S13,"ส"))</f>
        <v/>
      </c>
      <c r="T14" s="273">
        <f>IF(T$4&lt;&gt;1,"",COUNTIF(T9:T13,"ม")+COUNTIF(T9:T13,"ส"))</f>
        <v/>
      </c>
      <c r="U14" s="273">
        <f>IF(U$4&lt;&gt;1,"",COUNTIF(U9:U13,"ม")+COUNTIF(U9:U13,"ส"))</f>
        <v/>
      </c>
      <c r="V14" s="273">
        <f>IF(V$4&lt;&gt;1,"",COUNTIF(V9:V13,"ม")+COUNTIF(V9:V13,"ส"))</f>
        <v/>
      </c>
      <c r="W14" s="273">
        <f>IF(W$4&lt;&gt;1,"",COUNTIF(W9:W13,"ม")+COUNTIF(W9:W13,"ส"))</f>
        <v/>
      </c>
      <c r="X14" s="273">
        <f>IF(X$4&lt;&gt;1,"",COUNTIF(X9:X13,"ม")+COUNTIF(X9:X13,"ส"))</f>
        <v/>
      </c>
      <c r="Y14" s="273">
        <f>IF(Y$4&lt;&gt;1,"",COUNTIF(Y9:Y13,"ม")+COUNTIF(Y9:Y13,"ส"))</f>
        <v/>
      </c>
      <c r="Z14" s="273">
        <f>IF(Z$4&lt;&gt;1,"",COUNTIF(Z9:Z13,"ม")+COUNTIF(Z9:Z13,"ส"))</f>
        <v/>
      </c>
      <c r="AA14" s="273">
        <f>IF(AA$4&lt;&gt;1,"",COUNTIF(AA9:AA13,"ม")+COUNTIF(AA9:AA13,"ส"))</f>
        <v/>
      </c>
      <c r="AB14" s="273">
        <f>IF(AB$4&lt;&gt;1,"",COUNTIF(AB9:AB13,"ม")+COUNTIF(AB9:AB13,"ส"))</f>
        <v/>
      </c>
      <c r="AC14" s="273">
        <f>IF(AC$4&lt;&gt;1,"",COUNTIF(AC9:AC13,"ม")+COUNTIF(AC9:AC13,"ส"))</f>
        <v/>
      </c>
      <c r="AD14" s="273">
        <f>IF(AD$4&lt;&gt;1,"",COUNTIF(AD9:AD13,"ม")+COUNTIF(AD9:AD13,"ส"))</f>
        <v/>
      </c>
      <c r="AE14" s="273">
        <f>IF(AE$4&lt;&gt;1,"",COUNTIF(AE9:AE13,"ม")+COUNTIF(AE9:AE13,"ส"))</f>
        <v/>
      </c>
      <c r="AF14" s="273">
        <f>IF(AF$4&lt;&gt;1,"",COUNTIF(AF9:AF13,"ม")+COUNTIF(AF9:AF13,"ส"))</f>
        <v/>
      </c>
      <c r="AG14" s="273">
        <f>IF(AG$4&lt;&gt;1,"",COUNTIF(AG9:AG13,"ม")+COUNTIF(AG9:AG13,"ส"))</f>
        <v/>
      </c>
      <c r="AH14" s="273">
        <f>IF(AH$4&lt;&gt;1,"",COUNTIF(AH9:AH13,"ม")+COUNTIF(AH9:AH13,"ส"))</f>
        <v/>
      </c>
      <c r="AI14" s="274">
        <f>SUM(AI9:AI13)</f>
        <v/>
      </c>
      <c r="AJ14" s="275">
        <f>SUM(AJ9:AJ13)</f>
        <v/>
      </c>
      <c r="AK14" s="276">
        <f>SUM(AK9:AK13)</f>
        <v/>
      </c>
      <c r="AL14" s="272">
        <f>IF(AL$4&lt;&gt;1,"",COUNTIF(AL9:AL13,"ม")+COUNTIF(AL9:AL13,"ส"))</f>
        <v/>
      </c>
      <c r="AM14" s="273">
        <f>IF(AM$4&lt;&gt;1,"",COUNTIF(AM9:AM13,"ม")+COUNTIF(AM9:AM13,"ส"))</f>
        <v/>
      </c>
      <c r="AN14" s="273">
        <f>IF(AN$4&lt;&gt;1,"",COUNTIF(AN9:AN13,"ม")+COUNTIF(AN9:AN13,"ส"))</f>
        <v/>
      </c>
      <c r="AO14" s="273">
        <f>IF(AO$4&lt;&gt;1,"",COUNTIF(AO9:AO13,"ม")+COUNTIF(AO9:AO13,"ส"))</f>
        <v/>
      </c>
      <c r="AP14" s="273">
        <f>IF(AP$4&lt;&gt;1,"",COUNTIF(AP9:AP13,"ม")+COUNTIF(AP9:AP13,"ส"))</f>
        <v/>
      </c>
      <c r="AQ14" s="273">
        <f>IF(AQ$4&lt;&gt;1,"",COUNTIF(AQ9:AQ13,"ม")+COUNTIF(AQ9:AQ13,"ส"))</f>
        <v/>
      </c>
      <c r="AR14" s="273">
        <f>IF(AR$4&lt;&gt;1,"",COUNTIF(AR9:AR13,"ม")+COUNTIF(AR9:AR13,"ส"))</f>
        <v/>
      </c>
      <c r="AS14" s="273">
        <f>IF(AS$4&lt;&gt;1,"",COUNTIF(AS9:AS13,"ม")+COUNTIF(AS9:AS13,"ส"))</f>
        <v/>
      </c>
      <c r="AT14" s="273">
        <f>IF(AT$4&lt;&gt;1,"",COUNTIF(AT9:AT13,"ม")+COUNTIF(AT9:AT13,"ส"))</f>
        <v/>
      </c>
      <c r="AU14" s="273">
        <f>IF(AU$4&lt;&gt;1,"",COUNTIF(AU9:AU13,"ม")+COUNTIF(AU9:AU13,"ส"))</f>
        <v/>
      </c>
      <c r="AV14" s="273">
        <f>IF(AV$4&lt;&gt;1,"",COUNTIF(AV9:AV13,"ม")+COUNTIF(AV9:AV13,"ส"))</f>
        <v/>
      </c>
      <c r="AW14" s="273">
        <f>IF(AW$4&lt;&gt;1,"",COUNTIF(AW9:AW13,"ม")+COUNTIF(AW9:AW13,"ส"))</f>
        <v/>
      </c>
      <c r="AX14" s="273">
        <f>IF(AX$4&lt;&gt;1,"",COUNTIF(AX9:AX13,"ม")+COUNTIF(AX9:AX13,"ส"))</f>
        <v/>
      </c>
      <c r="AY14" s="273">
        <f>IF(AY$4&lt;&gt;1,"",COUNTIF(AY9:AY13,"ม")+COUNTIF(AY9:AY13,"ส"))</f>
        <v/>
      </c>
      <c r="AZ14" s="273">
        <f>IF(AZ$4&lt;&gt;1,"",COUNTIF(AZ9:AZ13,"ม")+COUNTIF(AZ9:AZ13,"ส"))</f>
        <v/>
      </c>
      <c r="BA14" s="273">
        <f>IF(BA$4&lt;&gt;1,"",COUNTIF(BA9:BA13,"ม")+COUNTIF(BA9:BA13,"ส"))</f>
        <v/>
      </c>
      <c r="BB14" s="273">
        <f>IF(BB$4&lt;&gt;1,"",COUNTIF(BB9:BB13,"ม")+COUNTIF(BB9:BB13,"ส"))</f>
        <v/>
      </c>
      <c r="BC14" s="273">
        <f>IF(BC$4&lt;&gt;1,"",COUNTIF(BC9:BC13,"ม")+COUNTIF(BC9:BC13,"ส"))</f>
        <v/>
      </c>
      <c r="BD14" s="273">
        <f>IF(BD$4&lt;&gt;1,"",COUNTIF(BD9:BD13,"ม")+COUNTIF(BD9:BD13,"ส"))</f>
        <v/>
      </c>
      <c r="BE14" s="273">
        <f>IF(BE$4&lt;&gt;1,"",COUNTIF(BE9:BE13,"ม")+COUNTIF(BE9:BE13,"ส"))</f>
        <v/>
      </c>
      <c r="BF14" s="273">
        <f>IF(BF$4&lt;&gt;1,"",COUNTIF(BF9:BF13,"ม")+COUNTIF(BF9:BF13,"ส"))</f>
        <v/>
      </c>
      <c r="BG14" s="273">
        <f>IF(BG$4&lt;&gt;1,"",COUNTIF(BG9:BG13,"ม")+COUNTIF(BG9:BG13,"ส"))</f>
        <v/>
      </c>
      <c r="BH14" s="273">
        <f>IF(BH$4&lt;&gt;1,"",COUNTIF(BH9:BH13,"ม")+COUNTIF(BH9:BH13,"ส"))</f>
        <v/>
      </c>
      <c r="BI14" s="273">
        <f>IF(BI$4&lt;&gt;1,"",COUNTIF(BI9:BI13,"ม")+COUNTIF(BI9:BI13,"ส"))</f>
        <v/>
      </c>
      <c r="BJ14" s="273">
        <f>IF(BJ$4&lt;&gt;1,"",COUNTIF(BJ9:BJ13,"ม")+COUNTIF(BJ9:BJ13,"ส"))</f>
        <v/>
      </c>
      <c r="BK14" s="273">
        <f>IF(BK$4&lt;&gt;1,"",COUNTIF(BK9:BK13,"ม")+COUNTIF(BK9:BK13,"ส"))</f>
        <v/>
      </c>
      <c r="BL14" s="273">
        <f>IF(BL$4&lt;&gt;1,"",COUNTIF(BL9:BL13,"ม")+COUNTIF(BL9:BL13,"ส"))</f>
        <v/>
      </c>
      <c r="BM14" s="273">
        <f>IF(BM$4&lt;&gt;1,"",COUNTIF(BM9:BM13,"ม")+COUNTIF(BM9:BM13,"ส"))</f>
        <v/>
      </c>
      <c r="BN14" s="273">
        <f>IF(BN$4&lt;&gt;1,"",COUNTIF(BN9:BN13,"ม")+COUNTIF(BN9:BN13,"ส"))</f>
        <v/>
      </c>
      <c r="BO14" s="273">
        <f>IF(BO$4&lt;&gt;1,"",COUNTIF(BO9:BO13,"ม")+COUNTIF(BO9:BO13,"ส"))</f>
        <v/>
      </c>
      <c r="BP14" s="273">
        <f>IF(BP$4&lt;&gt;1,"",COUNTIF(BP9:BP13,"ม")+COUNTIF(BP9:BP13,"ส"))</f>
        <v/>
      </c>
      <c r="BQ14" s="274">
        <f>SUM(BQ9:BQ13)</f>
        <v/>
      </c>
      <c r="BR14" s="275">
        <f>SUM(BR9:BR13)</f>
        <v/>
      </c>
      <c r="BS14" s="276">
        <f>SUM(BS9:BS13)</f>
        <v/>
      </c>
      <c r="BT14" s="272">
        <f>IF(BT$4&lt;&gt;1,"",COUNTIF(BT9:BT13,"ม")+COUNTIF(BT9:BT13,"ส"))</f>
        <v/>
      </c>
      <c r="BU14" s="273">
        <f>IF(BU$4&lt;&gt;1,"",COUNTIF(BU9:BU13,"ม")+COUNTIF(BU9:BU13,"ส"))</f>
        <v/>
      </c>
      <c r="BV14" s="273">
        <f>IF(BV$4&lt;&gt;1,"",COUNTIF(BV9:BV13,"ม")+COUNTIF(BV9:BV13,"ส"))</f>
        <v/>
      </c>
      <c r="BW14" s="273">
        <f>IF(BW$4&lt;&gt;1,"",COUNTIF(BW9:BW13,"ม")+COUNTIF(BW9:BW13,"ส"))</f>
        <v/>
      </c>
      <c r="BX14" s="273">
        <f>IF(BX$4&lt;&gt;1,"",COUNTIF(BX9:BX13,"ม")+COUNTIF(BX9:BX13,"ส"))</f>
        <v/>
      </c>
      <c r="BY14" s="273">
        <f>IF(BY$4&lt;&gt;1,"",COUNTIF(BY9:BY13,"ม")+COUNTIF(BY9:BY13,"ส"))</f>
        <v/>
      </c>
      <c r="BZ14" s="273">
        <f>IF(BZ$4&lt;&gt;1,"",COUNTIF(BZ9:BZ13,"ม")+COUNTIF(BZ9:BZ13,"ส"))</f>
        <v/>
      </c>
      <c r="CA14" s="273">
        <f>IF(CA$4&lt;&gt;1,"",COUNTIF(CA9:CA13,"ม")+COUNTIF(CA9:CA13,"ส"))</f>
        <v/>
      </c>
      <c r="CB14" s="273">
        <f>IF(CB$4&lt;&gt;1,"",COUNTIF(CB9:CB13,"ม")+COUNTIF(CB9:CB13,"ส"))</f>
        <v/>
      </c>
      <c r="CC14" s="273">
        <f>IF(CC$4&lt;&gt;1,"",COUNTIF(CC9:CC13,"ม")+COUNTIF(CC9:CC13,"ส"))</f>
        <v/>
      </c>
      <c r="CD14" s="273">
        <f>IF(CD$4&lt;&gt;1,"",COUNTIF(CD9:CD13,"ม")+COUNTIF(CD9:CD13,"ส"))</f>
        <v/>
      </c>
      <c r="CE14" s="273">
        <f>IF(CE$4&lt;&gt;1,"",COUNTIF(CE9:CE13,"ม")+COUNTIF(CE9:CE13,"ส"))</f>
        <v/>
      </c>
      <c r="CF14" s="273">
        <f>IF(CF$4&lt;&gt;1,"",COUNTIF(CF9:CF13,"ม")+COUNTIF(CF9:CF13,"ส"))</f>
        <v/>
      </c>
      <c r="CG14" s="273">
        <f>IF(CG$4&lt;&gt;1,"",COUNTIF(CG9:CG13,"ม")+COUNTIF(CG9:CG13,"ส"))</f>
        <v/>
      </c>
      <c r="CH14" s="273">
        <f>IF(CH$4&lt;&gt;1,"",COUNTIF(CH9:CH13,"ม")+COUNTIF(CH9:CH13,"ส"))</f>
        <v/>
      </c>
      <c r="CI14" s="273">
        <f>IF(CI$4&lt;&gt;1,"",COUNTIF(CI9:CI13,"ม")+COUNTIF(CI9:CI13,"ส"))</f>
        <v/>
      </c>
      <c r="CJ14" s="273">
        <f>IF(CJ$4&lt;&gt;1,"",COUNTIF(CJ9:CJ13,"ม")+COUNTIF(CJ9:CJ13,"ส"))</f>
        <v/>
      </c>
      <c r="CK14" s="273">
        <f>IF(CK$4&lt;&gt;1,"",COUNTIF(CK9:CK13,"ม")+COUNTIF(CK9:CK13,"ส"))</f>
        <v/>
      </c>
      <c r="CL14" s="273">
        <f>IF(CL$4&lt;&gt;1,"",COUNTIF(CL9:CL13,"ม")+COUNTIF(CL9:CL13,"ส"))</f>
        <v/>
      </c>
      <c r="CM14" s="273">
        <f>IF(CM$4&lt;&gt;1,"",COUNTIF(CM9:CM13,"ม")+COUNTIF(CM9:CM13,"ส"))</f>
        <v/>
      </c>
      <c r="CN14" s="273">
        <f>IF(CN$4&lt;&gt;1,"",COUNTIF(CN9:CN13,"ม")+COUNTIF(CN9:CN13,"ส"))</f>
        <v/>
      </c>
      <c r="CO14" s="273">
        <f>IF(CO$4&lt;&gt;1,"",COUNTIF(CO9:CO13,"ม")+COUNTIF(CO9:CO13,"ส"))</f>
        <v/>
      </c>
      <c r="CP14" s="273">
        <f>IF(CP$4&lt;&gt;1,"",COUNTIF(CP9:CP13,"ม")+COUNTIF(CP9:CP13,"ส"))</f>
        <v/>
      </c>
      <c r="CQ14" s="273">
        <f>IF(CQ$4&lt;&gt;1,"",COUNTIF(CQ9:CQ13,"ม")+COUNTIF(CQ9:CQ13,"ส"))</f>
        <v/>
      </c>
      <c r="CR14" s="273">
        <f>IF(CR$4&lt;&gt;1,"",COUNTIF(CR9:CR13,"ม")+COUNTIF(CR9:CR13,"ส"))</f>
        <v/>
      </c>
      <c r="CS14" s="273">
        <f>IF(CS$4&lt;&gt;1,"",COUNTIF(CS9:CS13,"ม")+COUNTIF(CS9:CS13,"ส"))</f>
        <v/>
      </c>
      <c r="CT14" s="273">
        <f>IF(CT$4&lt;&gt;1,"",COUNTIF(CT9:CT13,"ม")+COUNTIF(CT9:CT13,"ส"))</f>
        <v/>
      </c>
      <c r="CU14" s="273">
        <f>IF(CU$4&lt;&gt;1,"",COUNTIF(CU9:CU13,"ม")+COUNTIF(CU9:CU13,"ส"))</f>
        <v/>
      </c>
      <c r="CV14" s="273">
        <f>IF(CV$4&lt;&gt;1,"",COUNTIF(CV9:CV13,"ม")+COUNTIF(CV9:CV13,"ส"))</f>
        <v/>
      </c>
      <c r="CW14" s="273">
        <f>IF(CW$4&lt;&gt;1,"",COUNTIF(CW9:CW13,"ม")+COUNTIF(CW9:CW13,"ส"))</f>
        <v/>
      </c>
      <c r="CX14" s="273">
        <f>IF(CX$4&lt;&gt;1,"",COUNTIF(CX9:CX13,"ม")+COUNTIF(CX9:CX13,"ส"))</f>
        <v/>
      </c>
      <c r="CY14" s="274">
        <f>SUM(CY9:CY13)</f>
        <v/>
      </c>
      <c r="CZ14" s="275">
        <f>SUM(CZ9:CZ13)</f>
        <v/>
      </c>
      <c r="DA14" s="276">
        <f>SUM(DA9:DA13)</f>
        <v/>
      </c>
      <c r="DB14" s="272">
        <f>IF(DB$4&lt;&gt;1,"",COUNTIF(DB9:DB13,"ม")+COUNTIF(DB9:DB13,"ส"))</f>
        <v/>
      </c>
      <c r="DC14" s="273">
        <f>IF(DC$4&lt;&gt;1,"",COUNTIF(DC9:DC13,"ม")+COUNTIF(DC9:DC13,"ส"))</f>
        <v/>
      </c>
      <c r="DD14" s="273">
        <f>IF(DD$4&lt;&gt;1,"",COUNTIF(DD9:DD13,"ม")+COUNTIF(DD9:DD13,"ส"))</f>
        <v/>
      </c>
      <c r="DE14" s="273">
        <f>IF(DE$4&lt;&gt;1,"",COUNTIF(DE9:DE13,"ม")+COUNTIF(DE9:DE13,"ส"))</f>
        <v/>
      </c>
      <c r="DF14" s="273">
        <f>IF(DF$4&lt;&gt;1,"",COUNTIF(DF9:DF13,"ม")+COUNTIF(DF9:DF13,"ส"))</f>
        <v/>
      </c>
      <c r="DG14" s="273">
        <f>IF(DG$4&lt;&gt;1,"",COUNTIF(DG9:DG13,"ม")+COUNTIF(DG9:DG13,"ส"))</f>
        <v/>
      </c>
      <c r="DH14" s="273">
        <f>IF(DH$4&lt;&gt;1,"",COUNTIF(DH9:DH13,"ม")+COUNTIF(DH9:DH13,"ส"))</f>
        <v/>
      </c>
      <c r="DI14" s="273">
        <f>IF(DI$4&lt;&gt;1,"",COUNTIF(DI9:DI13,"ม")+COUNTIF(DI9:DI13,"ส"))</f>
        <v/>
      </c>
      <c r="DJ14" s="273">
        <f>IF(DJ$4&lt;&gt;1,"",COUNTIF(DJ9:DJ13,"ม")+COUNTIF(DJ9:DJ13,"ส"))</f>
        <v/>
      </c>
      <c r="DK14" s="273">
        <f>IF(DK$4&lt;&gt;1,"",COUNTIF(DK9:DK13,"ม")+COUNTIF(DK9:DK13,"ส"))</f>
        <v/>
      </c>
      <c r="DL14" s="273">
        <f>IF(DL$4&lt;&gt;1,"",COUNTIF(DL9:DL13,"ม")+COUNTIF(DL9:DL13,"ส"))</f>
        <v/>
      </c>
      <c r="DM14" s="273">
        <f>IF(DM$4&lt;&gt;1,"",COUNTIF(DM9:DM13,"ม")+COUNTIF(DM9:DM13,"ส"))</f>
        <v/>
      </c>
      <c r="DN14" s="273">
        <f>IF(DN$4&lt;&gt;1,"",COUNTIF(DN9:DN13,"ม")+COUNTIF(DN9:DN13,"ส"))</f>
        <v/>
      </c>
      <c r="DO14" s="273">
        <f>IF(DO$4&lt;&gt;1,"",COUNTIF(DO9:DO13,"ม")+COUNTIF(DO9:DO13,"ส"))</f>
        <v/>
      </c>
      <c r="DP14" s="273">
        <f>IF(DP$4&lt;&gt;1,"",COUNTIF(DP9:DP13,"ม")+COUNTIF(DP9:DP13,"ส"))</f>
        <v/>
      </c>
      <c r="DQ14" s="273">
        <f>IF(DQ$4&lt;&gt;1,"",COUNTIF(DQ9:DQ13,"ม")+COUNTIF(DQ9:DQ13,"ส"))</f>
        <v/>
      </c>
      <c r="DR14" s="273">
        <f>IF(DR$4&lt;&gt;1,"",COUNTIF(DR9:DR13,"ม")+COUNTIF(DR9:DR13,"ส"))</f>
        <v/>
      </c>
      <c r="DS14" s="273">
        <f>IF(DS$4&lt;&gt;1,"",COUNTIF(DS9:DS13,"ม")+COUNTIF(DS9:DS13,"ส"))</f>
        <v/>
      </c>
      <c r="DT14" s="273">
        <f>IF(DT$4&lt;&gt;1,"",COUNTIF(DT9:DT13,"ม")+COUNTIF(DT9:DT13,"ส"))</f>
        <v/>
      </c>
      <c r="DU14" s="273">
        <f>IF(DU$4&lt;&gt;1,"",COUNTIF(DU9:DU13,"ม")+COUNTIF(DU9:DU13,"ส"))</f>
        <v/>
      </c>
      <c r="DV14" s="273">
        <f>IF(DV$4&lt;&gt;1,"",COUNTIF(DV9:DV13,"ม")+COUNTIF(DV9:DV13,"ส"))</f>
        <v/>
      </c>
      <c r="DW14" s="273">
        <f>IF(DW$4&lt;&gt;1,"",COUNTIF(DW9:DW13,"ม")+COUNTIF(DW9:DW13,"ส"))</f>
        <v/>
      </c>
      <c r="DX14" s="273">
        <f>IF(DX$4&lt;&gt;1,"",COUNTIF(DX9:DX13,"ม")+COUNTIF(DX9:DX13,"ส"))</f>
        <v/>
      </c>
      <c r="DY14" s="273">
        <f>IF(DY$4&lt;&gt;1,"",COUNTIF(DY9:DY13,"ม")+COUNTIF(DY9:DY13,"ส"))</f>
        <v/>
      </c>
      <c r="DZ14" s="273">
        <f>IF(DZ$4&lt;&gt;1,"",COUNTIF(DZ9:DZ13,"ม")+COUNTIF(DZ9:DZ13,"ส"))</f>
        <v/>
      </c>
      <c r="EA14" s="273">
        <f>IF(EA$4&lt;&gt;1,"",COUNTIF(EA9:EA13,"ม")+COUNTIF(EA9:EA13,"ส"))</f>
        <v/>
      </c>
      <c r="EB14" s="273">
        <f>IF(EB$4&lt;&gt;1,"",COUNTIF(EB9:EB13,"ม")+COUNTIF(EB9:EB13,"ส"))</f>
        <v/>
      </c>
      <c r="EC14" s="273">
        <f>IF(EC$4&lt;&gt;1,"",COUNTIF(EC9:EC13,"ม")+COUNTIF(EC9:EC13,"ส"))</f>
        <v/>
      </c>
      <c r="ED14" s="273">
        <f>IF(ED$4&lt;&gt;1,"",COUNTIF(ED9:ED13,"ม")+COUNTIF(ED9:ED13,"ส"))</f>
        <v/>
      </c>
      <c r="EE14" s="273">
        <f>IF(EE$4&lt;&gt;1,"",COUNTIF(EE9:EE13,"ม")+COUNTIF(EE9:EE13,"ส"))</f>
        <v/>
      </c>
      <c r="EF14" s="273">
        <f>IF(EF$4&lt;&gt;1,"",COUNTIF(EF9:EF13,"ม")+COUNTIF(EF9:EF13,"ส"))</f>
        <v/>
      </c>
      <c r="EG14" s="274">
        <f>SUM(EG9:EG13)</f>
        <v/>
      </c>
      <c r="EH14" s="275">
        <f>SUM(EH9:EH13)</f>
        <v/>
      </c>
      <c r="EI14" s="276">
        <f>SUM(EI9:EI13)</f>
        <v/>
      </c>
      <c r="EJ14" s="272">
        <f>IF(EJ$4&lt;&gt;1,"",COUNTIF(EJ9:EJ13,"ม")+COUNTIF(EJ9:EJ13,"ส"))</f>
        <v/>
      </c>
      <c r="EK14" s="273">
        <f>IF(EK$4&lt;&gt;1,"",COUNTIF(EK9:EK13,"ม")+COUNTIF(EK9:EK13,"ส"))</f>
        <v/>
      </c>
      <c r="EL14" s="273">
        <f>IF(EL$4&lt;&gt;1,"",COUNTIF(EL9:EL13,"ม")+COUNTIF(EL9:EL13,"ส"))</f>
        <v/>
      </c>
      <c r="EM14" s="273">
        <f>IF(EM$4&lt;&gt;1,"",COUNTIF(EM9:EM13,"ม")+COUNTIF(EM9:EM13,"ส"))</f>
        <v/>
      </c>
      <c r="EN14" s="273">
        <f>IF(EN$4&lt;&gt;1,"",COUNTIF(EN9:EN13,"ม")+COUNTIF(EN9:EN13,"ส"))</f>
        <v/>
      </c>
      <c r="EO14" s="273">
        <f>IF(EO$4&lt;&gt;1,"",COUNTIF(EO9:EO13,"ม")+COUNTIF(EO9:EO13,"ส"))</f>
        <v/>
      </c>
      <c r="EP14" s="273">
        <f>IF(EP$4&lt;&gt;1,"",COUNTIF(EP9:EP13,"ม")+COUNTIF(EP9:EP13,"ส"))</f>
        <v/>
      </c>
      <c r="EQ14" s="273">
        <f>IF(EQ$4&lt;&gt;1,"",COUNTIF(EQ9:EQ13,"ม")+COUNTIF(EQ9:EQ13,"ส"))</f>
        <v/>
      </c>
      <c r="ER14" s="273">
        <f>IF(ER$4&lt;&gt;1,"",COUNTIF(ER9:ER13,"ม")+COUNTIF(ER9:ER13,"ส"))</f>
        <v/>
      </c>
      <c r="ES14" s="273">
        <f>IF(ES$4&lt;&gt;1,"",COUNTIF(ES9:ES13,"ม")+COUNTIF(ES9:ES13,"ส"))</f>
        <v/>
      </c>
      <c r="ET14" s="273">
        <f>IF(ET$4&lt;&gt;1,"",COUNTIF(ET9:ET13,"ม")+COUNTIF(ET9:ET13,"ส"))</f>
        <v/>
      </c>
      <c r="EU14" s="273">
        <f>IF(EU$4&lt;&gt;1,"",COUNTIF(EU9:EU13,"ม")+COUNTIF(EU9:EU13,"ส"))</f>
        <v/>
      </c>
      <c r="EV14" s="273">
        <f>IF(EV$4&lt;&gt;1,"",COUNTIF(EV9:EV13,"ม")+COUNTIF(EV9:EV13,"ส"))</f>
        <v/>
      </c>
      <c r="EW14" s="273">
        <f>IF(EW$4&lt;&gt;1,"",COUNTIF(EW9:EW13,"ม")+COUNTIF(EW9:EW13,"ส"))</f>
        <v/>
      </c>
      <c r="EX14" s="273">
        <f>IF(EX$4&lt;&gt;1,"",COUNTIF(EX9:EX13,"ม")+COUNTIF(EX9:EX13,"ส"))</f>
        <v/>
      </c>
      <c r="EY14" s="273">
        <f>IF(EY$4&lt;&gt;1,"",COUNTIF(EY9:EY13,"ม")+COUNTIF(EY9:EY13,"ส"))</f>
        <v/>
      </c>
      <c r="EZ14" s="273">
        <f>IF(EZ$4&lt;&gt;1,"",COUNTIF(EZ9:EZ13,"ม")+COUNTIF(EZ9:EZ13,"ส"))</f>
        <v/>
      </c>
      <c r="FA14" s="273">
        <f>IF(FA$4&lt;&gt;1,"",COUNTIF(FA9:FA13,"ม")+COUNTIF(FA9:FA13,"ส"))</f>
        <v/>
      </c>
      <c r="FB14" s="273">
        <f>IF(FB$4&lt;&gt;1,"",COUNTIF(FB9:FB13,"ม")+COUNTIF(FB9:FB13,"ส"))</f>
        <v/>
      </c>
      <c r="FC14" s="273">
        <f>IF(FC$4&lt;&gt;1,"",COUNTIF(FC9:FC13,"ม")+COUNTIF(FC9:FC13,"ส"))</f>
        <v/>
      </c>
      <c r="FD14" s="273">
        <f>IF(FD$4&lt;&gt;1,"",COUNTIF(FD9:FD13,"ม")+COUNTIF(FD9:FD13,"ส"))</f>
        <v/>
      </c>
      <c r="FE14" s="273">
        <f>IF(FE$4&lt;&gt;1,"",COUNTIF(FE9:FE13,"ม")+COUNTIF(FE9:FE13,"ส"))</f>
        <v/>
      </c>
      <c r="FF14" s="273">
        <f>IF(FF$4&lt;&gt;1,"",COUNTIF(FF9:FF13,"ม")+COUNTIF(FF9:FF13,"ส"))</f>
        <v/>
      </c>
      <c r="FG14" s="273">
        <f>IF(FG$4&lt;&gt;1,"",COUNTIF(FG9:FG13,"ม")+COUNTIF(FG9:FG13,"ส"))</f>
        <v/>
      </c>
      <c r="FH14" s="273">
        <f>IF(FH$4&lt;&gt;1,"",COUNTIF(FH9:FH13,"ม")+COUNTIF(FH9:FH13,"ส"))</f>
        <v/>
      </c>
      <c r="FI14" s="273">
        <f>IF(FI$4&lt;&gt;1,"",COUNTIF(FI9:FI13,"ม")+COUNTIF(FI9:FI13,"ส"))</f>
        <v/>
      </c>
      <c r="FJ14" s="273">
        <f>IF(FJ$4&lt;&gt;1,"",COUNTIF(FJ9:FJ13,"ม")+COUNTIF(FJ9:FJ13,"ส"))</f>
        <v/>
      </c>
      <c r="FK14" s="273">
        <f>IF(FK$4&lt;&gt;1,"",COUNTIF(FK9:FK13,"ม")+COUNTIF(FK9:FK13,"ส"))</f>
        <v/>
      </c>
      <c r="FL14" s="273">
        <f>IF(FL$4&lt;&gt;1,"",COUNTIF(FL9:FL13,"ม")+COUNTIF(FL9:FL13,"ส"))</f>
        <v/>
      </c>
      <c r="FM14" s="273">
        <f>IF(FM$4&lt;&gt;1,"",COUNTIF(FM9:FM13,"ม")+COUNTIF(FM9:FM13,"ส"))</f>
        <v/>
      </c>
      <c r="FN14" s="273">
        <f>IF(FN$4&lt;&gt;1,"",COUNTIF(FN9:FN13,"ม")+COUNTIF(FN9:FN13,"ส"))</f>
        <v/>
      </c>
      <c r="FO14" s="274">
        <f>SUM(FO9:FO13)</f>
        <v/>
      </c>
      <c r="FP14" s="275">
        <f>SUM(FP9:FP13)</f>
        <v/>
      </c>
      <c r="FQ14" s="276">
        <f>SUM(FQ9:FQ13)</f>
        <v/>
      </c>
      <c r="FR14" s="272">
        <f>IF(FR$4&lt;&gt;1,"",COUNTIF(FR9:FR13,"ม")+COUNTIF(FR9:FR13,"ส"))</f>
        <v/>
      </c>
      <c r="FS14" s="273">
        <f>IF(FS$4&lt;&gt;1,"",COUNTIF(FS9:FS13,"ม")+COUNTIF(FS9:FS13,"ส"))</f>
        <v/>
      </c>
      <c r="FT14" s="273">
        <f>IF(FT$4&lt;&gt;1,"",COUNTIF(FT9:FT13,"ม")+COUNTIF(FT9:FT13,"ส"))</f>
        <v/>
      </c>
      <c r="FU14" s="273">
        <f>IF(FU$4&lt;&gt;1,"",COUNTIF(FU9:FU13,"ม")+COUNTIF(FU9:FU13,"ส"))</f>
        <v/>
      </c>
      <c r="FV14" s="273">
        <f>IF(FV$4&lt;&gt;1,"",COUNTIF(FV9:FV13,"ม")+COUNTIF(FV9:FV13,"ส"))</f>
        <v/>
      </c>
      <c r="FW14" s="273">
        <f>IF(FW$4&lt;&gt;1,"",COUNTIF(FW9:FW13,"ม")+COUNTIF(FW9:FW13,"ส"))</f>
        <v/>
      </c>
      <c r="FX14" s="273">
        <f>IF(FX$4&lt;&gt;1,"",COUNTIF(FX9:FX13,"ม")+COUNTIF(FX9:FX13,"ส"))</f>
        <v/>
      </c>
      <c r="FY14" s="273">
        <f>IF(FY$4&lt;&gt;1,"",COUNTIF(FY9:FY13,"ม")+COUNTIF(FY9:FY13,"ส"))</f>
        <v/>
      </c>
      <c r="FZ14" s="273">
        <f>IF(FZ$4&lt;&gt;1,"",COUNTIF(FZ9:FZ13,"ม")+COUNTIF(FZ9:FZ13,"ส"))</f>
        <v/>
      </c>
      <c r="GA14" s="273">
        <f>IF(GA$4&lt;&gt;1,"",COUNTIF(GA9:GA13,"ม")+COUNTIF(GA9:GA13,"ส"))</f>
        <v/>
      </c>
      <c r="GB14" s="273">
        <f>IF(GB$4&lt;&gt;1,"",COUNTIF(GB9:GB13,"ม")+COUNTIF(GB9:GB13,"ส"))</f>
        <v/>
      </c>
      <c r="GC14" s="273">
        <f>IF(GC$4&lt;&gt;1,"",COUNTIF(GC9:GC13,"ม")+COUNTIF(GC9:GC13,"ส"))</f>
        <v/>
      </c>
      <c r="GD14" s="273">
        <f>IF(GD$4&lt;&gt;1,"",COUNTIF(GD9:GD13,"ม")+COUNTIF(GD9:GD13,"ส"))</f>
        <v/>
      </c>
      <c r="GE14" s="273">
        <f>IF(GE$4&lt;&gt;1,"",COUNTIF(GE9:GE13,"ม")+COUNTIF(GE9:GE13,"ส"))</f>
        <v/>
      </c>
      <c r="GF14" s="273">
        <f>IF(GF$4&lt;&gt;1,"",COUNTIF(GF9:GF13,"ม")+COUNTIF(GF9:GF13,"ส"))</f>
        <v/>
      </c>
      <c r="GG14" s="273">
        <f>IF(GG$4&lt;&gt;1,"",COUNTIF(GG9:GG13,"ม")+COUNTIF(GG9:GG13,"ส"))</f>
        <v/>
      </c>
      <c r="GH14" s="273">
        <f>IF(GH$4&lt;&gt;1,"",COUNTIF(GH9:GH13,"ม")+COUNTIF(GH9:GH13,"ส"))</f>
        <v/>
      </c>
      <c r="GI14" s="273">
        <f>IF(GI$4&lt;&gt;1,"",COUNTIF(GI9:GI13,"ม")+COUNTIF(GI9:GI13,"ส"))</f>
        <v/>
      </c>
      <c r="GJ14" s="273">
        <f>IF(GJ$4&lt;&gt;1,"",COUNTIF(GJ9:GJ13,"ม")+COUNTIF(GJ9:GJ13,"ส"))</f>
        <v/>
      </c>
      <c r="GK14" s="273">
        <f>IF(GK$4&lt;&gt;1,"",COUNTIF(GK9:GK13,"ม")+COUNTIF(GK9:GK13,"ส"))</f>
        <v/>
      </c>
      <c r="GL14" s="273">
        <f>IF(GL$4&lt;&gt;1,"",COUNTIF(GL9:GL13,"ม")+COUNTIF(GL9:GL13,"ส"))</f>
        <v/>
      </c>
      <c r="GM14" s="273">
        <f>IF(GM$4&lt;&gt;1,"",COUNTIF(GM9:GM13,"ม")+COUNTIF(GM9:GM13,"ส"))</f>
        <v/>
      </c>
      <c r="GN14" s="273">
        <f>IF(GN$4&lt;&gt;1,"",COUNTIF(GN9:GN13,"ม")+COUNTIF(GN9:GN13,"ส"))</f>
        <v/>
      </c>
      <c r="GO14" s="273">
        <f>IF(GO$4&lt;&gt;1,"",COUNTIF(GO9:GO13,"ม")+COUNTIF(GO9:GO13,"ส"))</f>
        <v/>
      </c>
      <c r="GP14" s="273">
        <f>IF(GP$4&lt;&gt;1,"",COUNTIF(GP9:GP13,"ม")+COUNTIF(GP9:GP13,"ส"))</f>
        <v/>
      </c>
      <c r="GQ14" s="273">
        <f>IF(GQ$4&lt;&gt;1,"",COUNTIF(GQ9:GQ13,"ม")+COUNTIF(GQ9:GQ13,"ส"))</f>
        <v/>
      </c>
      <c r="GR14" s="273">
        <f>IF(GR$4&lt;&gt;1,"",COUNTIF(GR9:GR13,"ม")+COUNTIF(GR9:GR13,"ส"))</f>
        <v/>
      </c>
      <c r="GS14" s="273">
        <f>IF(GS$4&lt;&gt;1,"",COUNTIF(GS9:GS13,"ม")+COUNTIF(GS9:GS13,"ส"))</f>
        <v/>
      </c>
      <c r="GT14" s="273">
        <f>IF(GT$4&lt;&gt;1,"",COUNTIF(GT9:GT13,"ม")+COUNTIF(GT9:GT13,"ส"))</f>
        <v/>
      </c>
      <c r="GU14" s="273">
        <f>IF(GU$4&lt;&gt;1,"",COUNTIF(GU9:GU13,"ม")+COUNTIF(GU9:GU13,"ส"))</f>
        <v/>
      </c>
      <c r="GV14" s="273">
        <f>IF(GV$4&lt;&gt;1,"",COUNTIF(GV9:GV13,"ม")+COUNTIF(GV9:GV13,"ส"))</f>
        <v/>
      </c>
      <c r="GW14" s="274">
        <f>SUM(GW9:GW13)</f>
        <v/>
      </c>
      <c r="GX14" s="275">
        <f>SUM(GX9:GX13)</f>
        <v/>
      </c>
      <c r="GY14" s="276">
        <f>SUM(GY9:GY13)</f>
        <v/>
      </c>
    </row>
    <row r="15">
      <c r="A15" s="271" t="inlineStr">
        <is>
          <t>ลา / ป่วย (คน)</t>
        </is>
      </c>
      <c r="B15" s="184" t="n"/>
      <c r="C15" s="184" t="n"/>
      <c r="D15" s="272">
        <f>IF(D$4&lt;&gt;1,"",COUNTIF(D9:D13,"ล")+COUNTIF(D9:D13,"ป"))</f>
        <v/>
      </c>
      <c r="E15" s="273">
        <f>IF(E$4&lt;&gt;1,"",COUNTIF(E9:E13,"ล")+COUNTIF(E9:E13,"ป"))</f>
        <v/>
      </c>
      <c r="F15" s="273">
        <f>IF(F$4&lt;&gt;1,"",COUNTIF(F9:F13,"ล")+COUNTIF(F9:F13,"ป"))</f>
        <v/>
      </c>
      <c r="G15" s="273">
        <f>IF(G$4&lt;&gt;1,"",COUNTIF(G9:G13,"ล")+COUNTIF(G9:G13,"ป"))</f>
        <v/>
      </c>
      <c r="H15" s="273">
        <f>IF(H$4&lt;&gt;1,"",COUNTIF(H9:H13,"ล")+COUNTIF(H9:H13,"ป"))</f>
        <v/>
      </c>
      <c r="I15" s="273">
        <f>IF(I$4&lt;&gt;1,"",COUNTIF(I9:I13,"ล")+COUNTIF(I9:I13,"ป"))</f>
        <v/>
      </c>
      <c r="J15" s="273">
        <f>IF(J$4&lt;&gt;1,"",COUNTIF(J9:J13,"ล")+COUNTIF(J9:J13,"ป"))</f>
        <v/>
      </c>
      <c r="K15" s="273">
        <f>IF(K$4&lt;&gt;1,"",COUNTIF(K9:K13,"ล")+COUNTIF(K9:K13,"ป"))</f>
        <v/>
      </c>
      <c r="L15" s="273">
        <f>IF(L$4&lt;&gt;1,"",COUNTIF(L9:L13,"ล")+COUNTIF(L9:L13,"ป"))</f>
        <v/>
      </c>
      <c r="M15" s="273">
        <f>IF(M$4&lt;&gt;1,"",COUNTIF(M9:M13,"ล")+COUNTIF(M9:M13,"ป"))</f>
        <v/>
      </c>
      <c r="N15" s="273">
        <f>IF(N$4&lt;&gt;1,"",COUNTIF(N9:N13,"ล")+COUNTIF(N9:N13,"ป"))</f>
        <v/>
      </c>
      <c r="O15" s="273">
        <f>IF(O$4&lt;&gt;1,"",COUNTIF(O9:O13,"ล")+COUNTIF(O9:O13,"ป"))</f>
        <v/>
      </c>
      <c r="P15" s="273">
        <f>IF(P$4&lt;&gt;1,"",COUNTIF(P9:P13,"ล")+COUNTIF(P9:P13,"ป"))</f>
        <v/>
      </c>
      <c r="Q15" s="273">
        <f>IF(Q$4&lt;&gt;1,"",COUNTIF(Q9:Q13,"ล")+COUNTIF(Q9:Q13,"ป"))</f>
        <v/>
      </c>
      <c r="R15" s="273">
        <f>IF(R$4&lt;&gt;1,"",COUNTIF(R9:R13,"ล")+COUNTIF(R9:R13,"ป"))</f>
        <v/>
      </c>
      <c r="S15" s="273">
        <f>IF(S$4&lt;&gt;1,"",COUNTIF(S9:S13,"ล")+COUNTIF(S9:S13,"ป"))</f>
        <v/>
      </c>
      <c r="T15" s="273">
        <f>IF(T$4&lt;&gt;1,"",COUNTIF(T9:T13,"ล")+COUNTIF(T9:T13,"ป"))</f>
        <v/>
      </c>
      <c r="U15" s="273">
        <f>IF(U$4&lt;&gt;1,"",COUNTIF(U9:U13,"ล")+COUNTIF(U9:U13,"ป"))</f>
        <v/>
      </c>
      <c r="V15" s="273">
        <f>IF(V$4&lt;&gt;1,"",COUNTIF(V9:V13,"ล")+COUNTIF(V9:V13,"ป"))</f>
        <v/>
      </c>
      <c r="W15" s="273">
        <f>IF(W$4&lt;&gt;1,"",COUNTIF(W9:W13,"ล")+COUNTIF(W9:W13,"ป"))</f>
        <v/>
      </c>
      <c r="X15" s="273">
        <f>IF(X$4&lt;&gt;1,"",COUNTIF(X9:X13,"ล")+COUNTIF(X9:X13,"ป"))</f>
        <v/>
      </c>
      <c r="Y15" s="273">
        <f>IF(Y$4&lt;&gt;1,"",COUNTIF(Y9:Y13,"ล")+COUNTIF(Y9:Y13,"ป"))</f>
        <v/>
      </c>
      <c r="Z15" s="273">
        <f>IF(Z$4&lt;&gt;1,"",COUNTIF(Z9:Z13,"ล")+COUNTIF(Z9:Z13,"ป"))</f>
        <v/>
      </c>
      <c r="AA15" s="273">
        <f>IF(AA$4&lt;&gt;1,"",COUNTIF(AA9:AA13,"ล")+COUNTIF(AA9:AA13,"ป"))</f>
        <v/>
      </c>
      <c r="AB15" s="273">
        <f>IF(AB$4&lt;&gt;1,"",COUNTIF(AB9:AB13,"ล")+COUNTIF(AB9:AB13,"ป"))</f>
        <v/>
      </c>
      <c r="AC15" s="273">
        <f>IF(AC$4&lt;&gt;1,"",COUNTIF(AC9:AC13,"ล")+COUNTIF(AC9:AC13,"ป"))</f>
        <v/>
      </c>
      <c r="AD15" s="273">
        <f>IF(AD$4&lt;&gt;1,"",COUNTIF(AD9:AD13,"ล")+COUNTIF(AD9:AD13,"ป"))</f>
        <v/>
      </c>
      <c r="AE15" s="273">
        <f>IF(AE$4&lt;&gt;1,"",COUNTIF(AE9:AE13,"ล")+COUNTIF(AE9:AE13,"ป"))</f>
        <v/>
      </c>
      <c r="AF15" s="273">
        <f>IF(AF$4&lt;&gt;1,"",COUNTIF(AF9:AF13,"ล")+COUNTIF(AF9:AF13,"ป"))</f>
        <v/>
      </c>
      <c r="AG15" s="273">
        <f>IF(AG$4&lt;&gt;1,"",COUNTIF(AG9:AG13,"ล")+COUNTIF(AG9:AG13,"ป"))</f>
        <v/>
      </c>
      <c r="AH15" s="273">
        <f>IF(AH$4&lt;&gt;1,"",COUNTIF(AH9:AH13,"ล")+COUNTIF(AH9:AH13,"ป"))</f>
        <v/>
      </c>
      <c r="AI15" s="274" t="n"/>
      <c r="AJ15" s="275" t="n"/>
      <c r="AK15" s="276" t="n"/>
      <c r="AL15" s="272">
        <f>IF(AL$4&lt;&gt;1,"",COUNTIF(AL9:AL13,"ล")+COUNTIF(AL9:AL13,"ป"))</f>
        <v/>
      </c>
      <c r="AM15" s="273">
        <f>IF(AM$4&lt;&gt;1,"",COUNTIF(AM9:AM13,"ล")+COUNTIF(AM9:AM13,"ป"))</f>
        <v/>
      </c>
      <c r="AN15" s="273">
        <f>IF(AN$4&lt;&gt;1,"",COUNTIF(AN9:AN13,"ล")+COUNTIF(AN9:AN13,"ป"))</f>
        <v/>
      </c>
      <c r="AO15" s="273">
        <f>IF(AO$4&lt;&gt;1,"",COUNTIF(AO9:AO13,"ล")+COUNTIF(AO9:AO13,"ป"))</f>
        <v/>
      </c>
      <c r="AP15" s="273">
        <f>IF(AP$4&lt;&gt;1,"",COUNTIF(AP9:AP13,"ล")+COUNTIF(AP9:AP13,"ป"))</f>
        <v/>
      </c>
      <c r="AQ15" s="273">
        <f>IF(AQ$4&lt;&gt;1,"",COUNTIF(AQ9:AQ13,"ล")+COUNTIF(AQ9:AQ13,"ป"))</f>
        <v/>
      </c>
      <c r="AR15" s="273">
        <f>IF(AR$4&lt;&gt;1,"",COUNTIF(AR9:AR13,"ล")+COUNTIF(AR9:AR13,"ป"))</f>
        <v/>
      </c>
      <c r="AS15" s="273">
        <f>IF(AS$4&lt;&gt;1,"",COUNTIF(AS9:AS13,"ล")+COUNTIF(AS9:AS13,"ป"))</f>
        <v/>
      </c>
      <c r="AT15" s="273">
        <f>IF(AT$4&lt;&gt;1,"",COUNTIF(AT9:AT13,"ล")+COUNTIF(AT9:AT13,"ป"))</f>
        <v/>
      </c>
      <c r="AU15" s="273">
        <f>IF(AU$4&lt;&gt;1,"",COUNTIF(AU9:AU13,"ล")+COUNTIF(AU9:AU13,"ป"))</f>
        <v/>
      </c>
      <c r="AV15" s="273">
        <f>IF(AV$4&lt;&gt;1,"",COUNTIF(AV9:AV13,"ล")+COUNTIF(AV9:AV13,"ป"))</f>
        <v/>
      </c>
      <c r="AW15" s="273">
        <f>IF(AW$4&lt;&gt;1,"",COUNTIF(AW9:AW13,"ล")+COUNTIF(AW9:AW13,"ป"))</f>
        <v/>
      </c>
      <c r="AX15" s="273">
        <f>IF(AX$4&lt;&gt;1,"",COUNTIF(AX9:AX13,"ล")+COUNTIF(AX9:AX13,"ป"))</f>
        <v/>
      </c>
      <c r="AY15" s="273">
        <f>IF(AY$4&lt;&gt;1,"",COUNTIF(AY9:AY13,"ล")+COUNTIF(AY9:AY13,"ป"))</f>
        <v/>
      </c>
      <c r="AZ15" s="273">
        <f>IF(AZ$4&lt;&gt;1,"",COUNTIF(AZ9:AZ13,"ล")+COUNTIF(AZ9:AZ13,"ป"))</f>
        <v/>
      </c>
      <c r="BA15" s="273">
        <f>IF(BA$4&lt;&gt;1,"",COUNTIF(BA9:BA13,"ล")+COUNTIF(BA9:BA13,"ป"))</f>
        <v/>
      </c>
      <c r="BB15" s="273">
        <f>IF(BB$4&lt;&gt;1,"",COUNTIF(BB9:BB13,"ล")+COUNTIF(BB9:BB13,"ป"))</f>
        <v/>
      </c>
      <c r="BC15" s="273">
        <f>IF(BC$4&lt;&gt;1,"",COUNTIF(BC9:BC13,"ล")+COUNTIF(BC9:BC13,"ป"))</f>
        <v/>
      </c>
      <c r="BD15" s="273">
        <f>IF(BD$4&lt;&gt;1,"",COUNTIF(BD9:BD13,"ล")+COUNTIF(BD9:BD13,"ป"))</f>
        <v/>
      </c>
      <c r="BE15" s="273">
        <f>IF(BE$4&lt;&gt;1,"",COUNTIF(BE9:BE13,"ล")+COUNTIF(BE9:BE13,"ป"))</f>
        <v/>
      </c>
      <c r="BF15" s="273">
        <f>IF(BF$4&lt;&gt;1,"",COUNTIF(BF9:BF13,"ล")+COUNTIF(BF9:BF13,"ป"))</f>
        <v/>
      </c>
      <c r="BG15" s="273">
        <f>IF(BG$4&lt;&gt;1,"",COUNTIF(BG9:BG13,"ล")+COUNTIF(BG9:BG13,"ป"))</f>
        <v/>
      </c>
      <c r="BH15" s="273">
        <f>IF(BH$4&lt;&gt;1,"",COUNTIF(BH9:BH13,"ล")+COUNTIF(BH9:BH13,"ป"))</f>
        <v/>
      </c>
      <c r="BI15" s="273">
        <f>IF(BI$4&lt;&gt;1,"",COUNTIF(BI9:BI13,"ล")+COUNTIF(BI9:BI13,"ป"))</f>
        <v/>
      </c>
      <c r="BJ15" s="273">
        <f>IF(BJ$4&lt;&gt;1,"",COUNTIF(BJ9:BJ13,"ล")+COUNTIF(BJ9:BJ13,"ป"))</f>
        <v/>
      </c>
      <c r="BK15" s="273">
        <f>IF(BK$4&lt;&gt;1,"",COUNTIF(BK9:BK13,"ล")+COUNTIF(BK9:BK13,"ป"))</f>
        <v/>
      </c>
      <c r="BL15" s="273">
        <f>IF(BL$4&lt;&gt;1,"",COUNTIF(BL9:BL13,"ล")+COUNTIF(BL9:BL13,"ป"))</f>
        <v/>
      </c>
      <c r="BM15" s="273">
        <f>IF(BM$4&lt;&gt;1,"",COUNTIF(BM9:BM13,"ล")+COUNTIF(BM9:BM13,"ป"))</f>
        <v/>
      </c>
      <c r="BN15" s="273">
        <f>IF(BN$4&lt;&gt;1,"",COUNTIF(BN9:BN13,"ล")+COUNTIF(BN9:BN13,"ป"))</f>
        <v/>
      </c>
      <c r="BO15" s="273">
        <f>IF(BO$4&lt;&gt;1,"",COUNTIF(BO9:BO13,"ล")+COUNTIF(BO9:BO13,"ป"))</f>
        <v/>
      </c>
      <c r="BP15" s="273">
        <f>IF(BP$4&lt;&gt;1,"",COUNTIF(BP9:BP13,"ล")+COUNTIF(BP9:BP13,"ป"))</f>
        <v/>
      </c>
      <c r="BQ15" s="274" t="n"/>
      <c r="BR15" s="275" t="n"/>
      <c r="BS15" s="276" t="n"/>
      <c r="BT15" s="272">
        <f>IF(BT$4&lt;&gt;1,"",COUNTIF(BT9:BT13,"ล")+COUNTIF(BT9:BT13,"ป"))</f>
        <v/>
      </c>
      <c r="BU15" s="273">
        <f>IF(BU$4&lt;&gt;1,"",COUNTIF(BU9:BU13,"ล")+COUNTIF(BU9:BU13,"ป"))</f>
        <v/>
      </c>
      <c r="BV15" s="273">
        <f>IF(BV$4&lt;&gt;1,"",COUNTIF(BV9:BV13,"ล")+COUNTIF(BV9:BV13,"ป"))</f>
        <v/>
      </c>
      <c r="BW15" s="273">
        <f>IF(BW$4&lt;&gt;1,"",COUNTIF(BW9:BW13,"ล")+COUNTIF(BW9:BW13,"ป"))</f>
        <v/>
      </c>
      <c r="BX15" s="273">
        <f>IF(BX$4&lt;&gt;1,"",COUNTIF(BX9:BX13,"ล")+COUNTIF(BX9:BX13,"ป"))</f>
        <v/>
      </c>
      <c r="BY15" s="273">
        <f>IF(BY$4&lt;&gt;1,"",COUNTIF(BY9:BY13,"ล")+COUNTIF(BY9:BY13,"ป"))</f>
        <v/>
      </c>
      <c r="BZ15" s="273">
        <f>IF(BZ$4&lt;&gt;1,"",COUNTIF(BZ9:BZ13,"ล")+COUNTIF(BZ9:BZ13,"ป"))</f>
        <v/>
      </c>
      <c r="CA15" s="273">
        <f>IF(CA$4&lt;&gt;1,"",COUNTIF(CA9:CA13,"ล")+COUNTIF(CA9:CA13,"ป"))</f>
        <v/>
      </c>
      <c r="CB15" s="273">
        <f>IF(CB$4&lt;&gt;1,"",COUNTIF(CB9:CB13,"ล")+COUNTIF(CB9:CB13,"ป"))</f>
        <v/>
      </c>
      <c r="CC15" s="273">
        <f>IF(CC$4&lt;&gt;1,"",COUNTIF(CC9:CC13,"ล")+COUNTIF(CC9:CC13,"ป"))</f>
        <v/>
      </c>
      <c r="CD15" s="273">
        <f>IF(CD$4&lt;&gt;1,"",COUNTIF(CD9:CD13,"ล")+COUNTIF(CD9:CD13,"ป"))</f>
        <v/>
      </c>
      <c r="CE15" s="273">
        <f>IF(CE$4&lt;&gt;1,"",COUNTIF(CE9:CE13,"ล")+COUNTIF(CE9:CE13,"ป"))</f>
        <v/>
      </c>
      <c r="CF15" s="273">
        <f>IF(CF$4&lt;&gt;1,"",COUNTIF(CF9:CF13,"ล")+COUNTIF(CF9:CF13,"ป"))</f>
        <v/>
      </c>
      <c r="CG15" s="273">
        <f>IF(CG$4&lt;&gt;1,"",COUNTIF(CG9:CG13,"ล")+COUNTIF(CG9:CG13,"ป"))</f>
        <v/>
      </c>
      <c r="CH15" s="273">
        <f>IF(CH$4&lt;&gt;1,"",COUNTIF(CH9:CH13,"ล")+COUNTIF(CH9:CH13,"ป"))</f>
        <v/>
      </c>
      <c r="CI15" s="273">
        <f>IF(CI$4&lt;&gt;1,"",COUNTIF(CI9:CI13,"ล")+COUNTIF(CI9:CI13,"ป"))</f>
        <v/>
      </c>
      <c r="CJ15" s="273">
        <f>IF(CJ$4&lt;&gt;1,"",COUNTIF(CJ9:CJ13,"ล")+COUNTIF(CJ9:CJ13,"ป"))</f>
        <v/>
      </c>
      <c r="CK15" s="273">
        <f>IF(CK$4&lt;&gt;1,"",COUNTIF(CK9:CK13,"ล")+COUNTIF(CK9:CK13,"ป"))</f>
        <v/>
      </c>
      <c r="CL15" s="273">
        <f>IF(CL$4&lt;&gt;1,"",COUNTIF(CL9:CL13,"ล")+COUNTIF(CL9:CL13,"ป"))</f>
        <v/>
      </c>
      <c r="CM15" s="273">
        <f>IF(CM$4&lt;&gt;1,"",COUNTIF(CM9:CM13,"ล")+COUNTIF(CM9:CM13,"ป"))</f>
        <v/>
      </c>
      <c r="CN15" s="273">
        <f>IF(CN$4&lt;&gt;1,"",COUNTIF(CN9:CN13,"ล")+COUNTIF(CN9:CN13,"ป"))</f>
        <v/>
      </c>
      <c r="CO15" s="273">
        <f>IF(CO$4&lt;&gt;1,"",COUNTIF(CO9:CO13,"ล")+COUNTIF(CO9:CO13,"ป"))</f>
        <v/>
      </c>
      <c r="CP15" s="273">
        <f>IF(CP$4&lt;&gt;1,"",COUNTIF(CP9:CP13,"ล")+COUNTIF(CP9:CP13,"ป"))</f>
        <v/>
      </c>
      <c r="CQ15" s="273">
        <f>IF(CQ$4&lt;&gt;1,"",COUNTIF(CQ9:CQ13,"ล")+COUNTIF(CQ9:CQ13,"ป"))</f>
        <v/>
      </c>
      <c r="CR15" s="273">
        <f>IF(CR$4&lt;&gt;1,"",COUNTIF(CR9:CR13,"ล")+COUNTIF(CR9:CR13,"ป"))</f>
        <v/>
      </c>
      <c r="CS15" s="273">
        <f>IF(CS$4&lt;&gt;1,"",COUNTIF(CS9:CS13,"ล")+COUNTIF(CS9:CS13,"ป"))</f>
        <v/>
      </c>
      <c r="CT15" s="273">
        <f>IF(CT$4&lt;&gt;1,"",COUNTIF(CT9:CT13,"ล")+COUNTIF(CT9:CT13,"ป"))</f>
        <v/>
      </c>
      <c r="CU15" s="273">
        <f>IF(CU$4&lt;&gt;1,"",COUNTIF(CU9:CU13,"ล")+COUNTIF(CU9:CU13,"ป"))</f>
        <v/>
      </c>
      <c r="CV15" s="273">
        <f>IF(CV$4&lt;&gt;1,"",COUNTIF(CV9:CV13,"ล")+COUNTIF(CV9:CV13,"ป"))</f>
        <v/>
      </c>
      <c r="CW15" s="273">
        <f>IF(CW$4&lt;&gt;1,"",COUNTIF(CW9:CW13,"ล")+COUNTIF(CW9:CW13,"ป"))</f>
        <v/>
      </c>
      <c r="CX15" s="273">
        <f>IF(CX$4&lt;&gt;1,"",COUNTIF(CX9:CX13,"ล")+COUNTIF(CX9:CX13,"ป"))</f>
        <v/>
      </c>
      <c r="CY15" s="274" t="n"/>
      <c r="CZ15" s="275" t="n"/>
      <c r="DA15" s="276" t="n"/>
      <c r="DB15" s="272">
        <f>IF(DB$4&lt;&gt;1,"",COUNTIF(DB9:DB13,"ล")+COUNTIF(DB9:DB13,"ป"))</f>
        <v/>
      </c>
      <c r="DC15" s="273">
        <f>IF(DC$4&lt;&gt;1,"",COUNTIF(DC9:DC13,"ล")+COUNTIF(DC9:DC13,"ป"))</f>
        <v/>
      </c>
      <c r="DD15" s="273">
        <f>IF(DD$4&lt;&gt;1,"",COUNTIF(DD9:DD13,"ล")+COUNTIF(DD9:DD13,"ป"))</f>
        <v/>
      </c>
      <c r="DE15" s="273">
        <f>IF(DE$4&lt;&gt;1,"",COUNTIF(DE9:DE13,"ล")+COUNTIF(DE9:DE13,"ป"))</f>
        <v/>
      </c>
      <c r="DF15" s="273">
        <f>IF(DF$4&lt;&gt;1,"",COUNTIF(DF9:DF13,"ล")+COUNTIF(DF9:DF13,"ป"))</f>
        <v/>
      </c>
      <c r="DG15" s="273">
        <f>IF(DG$4&lt;&gt;1,"",COUNTIF(DG9:DG13,"ล")+COUNTIF(DG9:DG13,"ป"))</f>
        <v/>
      </c>
      <c r="DH15" s="273">
        <f>IF(DH$4&lt;&gt;1,"",COUNTIF(DH9:DH13,"ล")+COUNTIF(DH9:DH13,"ป"))</f>
        <v/>
      </c>
      <c r="DI15" s="273">
        <f>IF(DI$4&lt;&gt;1,"",COUNTIF(DI9:DI13,"ล")+COUNTIF(DI9:DI13,"ป"))</f>
        <v/>
      </c>
      <c r="DJ15" s="273">
        <f>IF(DJ$4&lt;&gt;1,"",COUNTIF(DJ9:DJ13,"ล")+COUNTIF(DJ9:DJ13,"ป"))</f>
        <v/>
      </c>
      <c r="DK15" s="273">
        <f>IF(DK$4&lt;&gt;1,"",COUNTIF(DK9:DK13,"ล")+COUNTIF(DK9:DK13,"ป"))</f>
        <v/>
      </c>
      <c r="DL15" s="273">
        <f>IF(DL$4&lt;&gt;1,"",COUNTIF(DL9:DL13,"ล")+COUNTIF(DL9:DL13,"ป"))</f>
        <v/>
      </c>
      <c r="DM15" s="273">
        <f>IF(DM$4&lt;&gt;1,"",COUNTIF(DM9:DM13,"ล")+COUNTIF(DM9:DM13,"ป"))</f>
        <v/>
      </c>
      <c r="DN15" s="273">
        <f>IF(DN$4&lt;&gt;1,"",COUNTIF(DN9:DN13,"ล")+COUNTIF(DN9:DN13,"ป"))</f>
        <v/>
      </c>
      <c r="DO15" s="273">
        <f>IF(DO$4&lt;&gt;1,"",COUNTIF(DO9:DO13,"ล")+COUNTIF(DO9:DO13,"ป"))</f>
        <v/>
      </c>
      <c r="DP15" s="273">
        <f>IF(DP$4&lt;&gt;1,"",COUNTIF(DP9:DP13,"ล")+COUNTIF(DP9:DP13,"ป"))</f>
        <v/>
      </c>
      <c r="DQ15" s="273">
        <f>IF(DQ$4&lt;&gt;1,"",COUNTIF(DQ9:DQ13,"ล")+COUNTIF(DQ9:DQ13,"ป"))</f>
        <v/>
      </c>
      <c r="DR15" s="273">
        <f>IF(DR$4&lt;&gt;1,"",COUNTIF(DR9:DR13,"ล")+COUNTIF(DR9:DR13,"ป"))</f>
        <v/>
      </c>
      <c r="DS15" s="273">
        <f>IF(DS$4&lt;&gt;1,"",COUNTIF(DS9:DS13,"ล")+COUNTIF(DS9:DS13,"ป"))</f>
        <v/>
      </c>
      <c r="DT15" s="273">
        <f>IF(DT$4&lt;&gt;1,"",COUNTIF(DT9:DT13,"ล")+COUNTIF(DT9:DT13,"ป"))</f>
        <v/>
      </c>
      <c r="DU15" s="273">
        <f>IF(DU$4&lt;&gt;1,"",COUNTIF(DU9:DU13,"ล")+COUNTIF(DU9:DU13,"ป"))</f>
        <v/>
      </c>
      <c r="DV15" s="273">
        <f>IF(DV$4&lt;&gt;1,"",COUNTIF(DV9:DV13,"ล")+COUNTIF(DV9:DV13,"ป"))</f>
        <v/>
      </c>
      <c r="DW15" s="273">
        <f>IF(DW$4&lt;&gt;1,"",COUNTIF(DW9:DW13,"ล")+COUNTIF(DW9:DW13,"ป"))</f>
        <v/>
      </c>
      <c r="DX15" s="273">
        <f>IF(DX$4&lt;&gt;1,"",COUNTIF(DX9:DX13,"ล")+COUNTIF(DX9:DX13,"ป"))</f>
        <v/>
      </c>
      <c r="DY15" s="273">
        <f>IF(DY$4&lt;&gt;1,"",COUNTIF(DY9:DY13,"ล")+COUNTIF(DY9:DY13,"ป"))</f>
        <v/>
      </c>
      <c r="DZ15" s="273">
        <f>IF(DZ$4&lt;&gt;1,"",COUNTIF(DZ9:DZ13,"ล")+COUNTIF(DZ9:DZ13,"ป"))</f>
        <v/>
      </c>
      <c r="EA15" s="273">
        <f>IF(EA$4&lt;&gt;1,"",COUNTIF(EA9:EA13,"ล")+COUNTIF(EA9:EA13,"ป"))</f>
        <v/>
      </c>
      <c r="EB15" s="273">
        <f>IF(EB$4&lt;&gt;1,"",COUNTIF(EB9:EB13,"ล")+COUNTIF(EB9:EB13,"ป"))</f>
        <v/>
      </c>
      <c r="EC15" s="273">
        <f>IF(EC$4&lt;&gt;1,"",COUNTIF(EC9:EC13,"ล")+COUNTIF(EC9:EC13,"ป"))</f>
        <v/>
      </c>
      <c r="ED15" s="273">
        <f>IF(ED$4&lt;&gt;1,"",COUNTIF(ED9:ED13,"ล")+COUNTIF(ED9:ED13,"ป"))</f>
        <v/>
      </c>
      <c r="EE15" s="273">
        <f>IF(EE$4&lt;&gt;1,"",COUNTIF(EE9:EE13,"ล")+COUNTIF(EE9:EE13,"ป"))</f>
        <v/>
      </c>
      <c r="EF15" s="273">
        <f>IF(EF$4&lt;&gt;1,"",COUNTIF(EF9:EF13,"ล")+COUNTIF(EF9:EF13,"ป"))</f>
        <v/>
      </c>
      <c r="EG15" s="274" t="n"/>
      <c r="EH15" s="275" t="n"/>
      <c r="EI15" s="276" t="n"/>
      <c r="EJ15" s="272">
        <f>IF(EJ$4&lt;&gt;1,"",COUNTIF(EJ9:EJ13,"ล")+COUNTIF(EJ9:EJ13,"ป"))</f>
        <v/>
      </c>
      <c r="EK15" s="273">
        <f>IF(EK$4&lt;&gt;1,"",COUNTIF(EK9:EK13,"ล")+COUNTIF(EK9:EK13,"ป"))</f>
        <v/>
      </c>
      <c r="EL15" s="273">
        <f>IF(EL$4&lt;&gt;1,"",COUNTIF(EL9:EL13,"ล")+COUNTIF(EL9:EL13,"ป"))</f>
        <v/>
      </c>
      <c r="EM15" s="273">
        <f>IF(EM$4&lt;&gt;1,"",COUNTIF(EM9:EM13,"ล")+COUNTIF(EM9:EM13,"ป"))</f>
        <v/>
      </c>
      <c r="EN15" s="273">
        <f>IF(EN$4&lt;&gt;1,"",COUNTIF(EN9:EN13,"ล")+COUNTIF(EN9:EN13,"ป"))</f>
        <v/>
      </c>
      <c r="EO15" s="273">
        <f>IF(EO$4&lt;&gt;1,"",COUNTIF(EO9:EO13,"ล")+COUNTIF(EO9:EO13,"ป"))</f>
        <v/>
      </c>
      <c r="EP15" s="273">
        <f>IF(EP$4&lt;&gt;1,"",COUNTIF(EP9:EP13,"ล")+COUNTIF(EP9:EP13,"ป"))</f>
        <v/>
      </c>
      <c r="EQ15" s="273">
        <f>IF(EQ$4&lt;&gt;1,"",COUNTIF(EQ9:EQ13,"ล")+COUNTIF(EQ9:EQ13,"ป"))</f>
        <v/>
      </c>
      <c r="ER15" s="273">
        <f>IF(ER$4&lt;&gt;1,"",COUNTIF(ER9:ER13,"ล")+COUNTIF(ER9:ER13,"ป"))</f>
        <v/>
      </c>
      <c r="ES15" s="273">
        <f>IF(ES$4&lt;&gt;1,"",COUNTIF(ES9:ES13,"ล")+COUNTIF(ES9:ES13,"ป"))</f>
        <v/>
      </c>
      <c r="ET15" s="273">
        <f>IF(ET$4&lt;&gt;1,"",COUNTIF(ET9:ET13,"ล")+COUNTIF(ET9:ET13,"ป"))</f>
        <v/>
      </c>
      <c r="EU15" s="273">
        <f>IF(EU$4&lt;&gt;1,"",COUNTIF(EU9:EU13,"ล")+COUNTIF(EU9:EU13,"ป"))</f>
        <v/>
      </c>
      <c r="EV15" s="273">
        <f>IF(EV$4&lt;&gt;1,"",COUNTIF(EV9:EV13,"ล")+COUNTIF(EV9:EV13,"ป"))</f>
        <v/>
      </c>
      <c r="EW15" s="273">
        <f>IF(EW$4&lt;&gt;1,"",COUNTIF(EW9:EW13,"ล")+COUNTIF(EW9:EW13,"ป"))</f>
        <v/>
      </c>
      <c r="EX15" s="273">
        <f>IF(EX$4&lt;&gt;1,"",COUNTIF(EX9:EX13,"ล")+COUNTIF(EX9:EX13,"ป"))</f>
        <v/>
      </c>
      <c r="EY15" s="273">
        <f>IF(EY$4&lt;&gt;1,"",COUNTIF(EY9:EY13,"ล")+COUNTIF(EY9:EY13,"ป"))</f>
        <v/>
      </c>
      <c r="EZ15" s="273">
        <f>IF(EZ$4&lt;&gt;1,"",COUNTIF(EZ9:EZ13,"ล")+COUNTIF(EZ9:EZ13,"ป"))</f>
        <v/>
      </c>
      <c r="FA15" s="273">
        <f>IF(FA$4&lt;&gt;1,"",COUNTIF(FA9:FA13,"ล")+COUNTIF(FA9:FA13,"ป"))</f>
        <v/>
      </c>
      <c r="FB15" s="273">
        <f>IF(FB$4&lt;&gt;1,"",COUNTIF(FB9:FB13,"ล")+COUNTIF(FB9:FB13,"ป"))</f>
        <v/>
      </c>
      <c r="FC15" s="273">
        <f>IF(FC$4&lt;&gt;1,"",COUNTIF(FC9:FC13,"ล")+COUNTIF(FC9:FC13,"ป"))</f>
        <v/>
      </c>
      <c r="FD15" s="273">
        <f>IF(FD$4&lt;&gt;1,"",COUNTIF(FD9:FD13,"ล")+COUNTIF(FD9:FD13,"ป"))</f>
        <v/>
      </c>
      <c r="FE15" s="273">
        <f>IF(FE$4&lt;&gt;1,"",COUNTIF(FE9:FE13,"ล")+COUNTIF(FE9:FE13,"ป"))</f>
        <v/>
      </c>
      <c r="FF15" s="273">
        <f>IF(FF$4&lt;&gt;1,"",COUNTIF(FF9:FF13,"ล")+COUNTIF(FF9:FF13,"ป"))</f>
        <v/>
      </c>
      <c r="FG15" s="273">
        <f>IF(FG$4&lt;&gt;1,"",COUNTIF(FG9:FG13,"ล")+COUNTIF(FG9:FG13,"ป"))</f>
        <v/>
      </c>
      <c r="FH15" s="273">
        <f>IF(FH$4&lt;&gt;1,"",COUNTIF(FH9:FH13,"ล")+COUNTIF(FH9:FH13,"ป"))</f>
        <v/>
      </c>
      <c r="FI15" s="273">
        <f>IF(FI$4&lt;&gt;1,"",COUNTIF(FI9:FI13,"ล")+COUNTIF(FI9:FI13,"ป"))</f>
        <v/>
      </c>
      <c r="FJ15" s="273">
        <f>IF(FJ$4&lt;&gt;1,"",COUNTIF(FJ9:FJ13,"ล")+COUNTIF(FJ9:FJ13,"ป"))</f>
        <v/>
      </c>
      <c r="FK15" s="273">
        <f>IF(FK$4&lt;&gt;1,"",COUNTIF(FK9:FK13,"ล")+COUNTIF(FK9:FK13,"ป"))</f>
        <v/>
      </c>
      <c r="FL15" s="273">
        <f>IF(FL$4&lt;&gt;1,"",COUNTIF(FL9:FL13,"ล")+COUNTIF(FL9:FL13,"ป"))</f>
        <v/>
      </c>
      <c r="FM15" s="273">
        <f>IF(FM$4&lt;&gt;1,"",COUNTIF(FM9:FM13,"ล")+COUNTIF(FM9:FM13,"ป"))</f>
        <v/>
      </c>
      <c r="FN15" s="273">
        <f>IF(FN$4&lt;&gt;1,"",COUNTIF(FN9:FN13,"ล")+COUNTIF(FN9:FN13,"ป"))</f>
        <v/>
      </c>
      <c r="FO15" s="274" t="n"/>
      <c r="FP15" s="275" t="n"/>
      <c r="FQ15" s="276" t="n"/>
      <c r="FR15" s="272">
        <f>IF(FR$4&lt;&gt;1,"",COUNTIF(FR9:FR13,"ล")+COUNTIF(FR9:FR13,"ป"))</f>
        <v/>
      </c>
      <c r="FS15" s="273">
        <f>IF(FS$4&lt;&gt;1,"",COUNTIF(FS9:FS13,"ล")+COUNTIF(FS9:FS13,"ป"))</f>
        <v/>
      </c>
      <c r="FT15" s="273">
        <f>IF(FT$4&lt;&gt;1,"",COUNTIF(FT9:FT13,"ล")+COUNTIF(FT9:FT13,"ป"))</f>
        <v/>
      </c>
      <c r="FU15" s="273">
        <f>IF(FU$4&lt;&gt;1,"",COUNTIF(FU9:FU13,"ล")+COUNTIF(FU9:FU13,"ป"))</f>
        <v/>
      </c>
      <c r="FV15" s="273">
        <f>IF(FV$4&lt;&gt;1,"",COUNTIF(FV9:FV13,"ล")+COUNTIF(FV9:FV13,"ป"))</f>
        <v/>
      </c>
      <c r="FW15" s="273">
        <f>IF(FW$4&lt;&gt;1,"",COUNTIF(FW9:FW13,"ล")+COUNTIF(FW9:FW13,"ป"))</f>
        <v/>
      </c>
      <c r="FX15" s="273">
        <f>IF(FX$4&lt;&gt;1,"",COUNTIF(FX9:FX13,"ล")+COUNTIF(FX9:FX13,"ป"))</f>
        <v/>
      </c>
      <c r="FY15" s="273">
        <f>IF(FY$4&lt;&gt;1,"",COUNTIF(FY9:FY13,"ล")+COUNTIF(FY9:FY13,"ป"))</f>
        <v/>
      </c>
      <c r="FZ15" s="273">
        <f>IF(FZ$4&lt;&gt;1,"",COUNTIF(FZ9:FZ13,"ล")+COUNTIF(FZ9:FZ13,"ป"))</f>
        <v/>
      </c>
      <c r="GA15" s="273">
        <f>IF(GA$4&lt;&gt;1,"",COUNTIF(GA9:GA13,"ล")+COUNTIF(GA9:GA13,"ป"))</f>
        <v/>
      </c>
      <c r="GB15" s="273">
        <f>IF(GB$4&lt;&gt;1,"",COUNTIF(GB9:GB13,"ล")+COUNTIF(GB9:GB13,"ป"))</f>
        <v/>
      </c>
      <c r="GC15" s="273">
        <f>IF(GC$4&lt;&gt;1,"",COUNTIF(GC9:GC13,"ล")+COUNTIF(GC9:GC13,"ป"))</f>
        <v/>
      </c>
      <c r="GD15" s="273">
        <f>IF(GD$4&lt;&gt;1,"",COUNTIF(GD9:GD13,"ล")+COUNTIF(GD9:GD13,"ป"))</f>
        <v/>
      </c>
      <c r="GE15" s="273">
        <f>IF(GE$4&lt;&gt;1,"",COUNTIF(GE9:GE13,"ล")+COUNTIF(GE9:GE13,"ป"))</f>
        <v/>
      </c>
      <c r="GF15" s="273">
        <f>IF(GF$4&lt;&gt;1,"",COUNTIF(GF9:GF13,"ล")+COUNTIF(GF9:GF13,"ป"))</f>
        <v/>
      </c>
      <c r="GG15" s="273">
        <f>IF(GG$4&lt;&gt;1,"",COUNTIF(GG9:GG13,"ล")+COUNTIF(GG9:GG13,"ป"))</f>
        <v/>
      </c>
      <c r="GH15" s="273">
        <f>IF(GH$4&lt;&gt;1,"",COUNTIF(GH9:GH13,"ล")+COUNTIF(GH9:GH13,"ป"))</f>
        <v/>
      </c>
      <c r="GI15" s="273">
        <f>IF(GI$4&lt;&gt;1,"",COUNTIF(GI9:GI13,"ล")+COUNTIF(GI9:GI13,"ป"))</f>
        <v/>
      </c>
      <c r="GJ15" s="273">
        <f>IF(GJ$4&lt;&gt;1,"",COUNTIF(GJ9:GJ13,"ล")+COUNTIF(GJ9:GJ13,"ป"))</f>
        <v/>
      </c>
      <c r="GK15" s="273">
        <f>IF(GK$4&lt;&gt;1,"",COUNTIF(GK9:GK13,"ล")+COUNTIF(GK9:GK13,"ป"))</f>
        <v/>
      </c>
      <c r="GL15" s="273">
        <f>IF(GL$4&lt;&gt;1,"",COUNTIF(GL9:GL13,"ล")+COUNTIF(GL9:GL13,"ป"))</f>
        <v/>
      </c>
      <c r="GM15" s="273">
        <f>IF(GM$4&lt;&gt;1,"",COUNTIF(GM9:GM13,"ล")+COUNTIF(GM9:GM13,"ป"))</f>
        <v/>
      </c>
      <c r="GN15" s="273">
        <f>IF(GN$4&lt;&gt;1,"",COUNTIF(GN9:GN13,"ล")+COUNTIF(GN9:GN13,"ป"))</f>
        <v/>
      </c>
      <c r="GO15" s="273">
        <f>IF(GO$4&lt;&gt;1,"",COUNTIF(GO9:GO13,"ล")+COUNTIF(GO9:GO13,"ป"))</f>
        <v/>
      </c>
      <c r="GP15" s="273">
        <f>IF(GP$4&lt;&gt;1,"",COUNTIF(GP9:GP13,"ล")+COUNTIF(GP9:GP13,"ป"))</f>
        <v/>
      </c>
      <c r="GQ15" s="273">
        <f>IF(GQ$4&lt;&gt;1,"",COUNTIF(GQ9:GQ13,"ล")+COUNTIF(GQ9:GQ13,"ป"))</f>
        <v/>
      </c>
      <c r="GR15" s="273">
        <f>IF(GR$4&lt;&gt;1,"",COUNTIF(GR9:GR13,"ล")+COUNTIF(GR9:GR13,"ป"))</f>
        <v/>
      </c>
      <c r="GS15" s="273">
        <f>IF(GS$4&lt;&gt;1,"",COUNTIF(GS9:GS13,"ล")+COUNTIF(GS9:GS13,"ป"))</f>
        <v/>
      </c>
      <c r="GT15" s="273">
        <f>IF(GT$4&lt;&gt;1,"",COUNTIF(GT9:GT13,"ล")+COUNTIF(GT9:GT13,"ป"))</f>
        <v/>
      </c>
      <c r="GU15" s="273">
        <f>IF(GU$4&lt;&gt;1,"",COUNTIF(GU9:GU13,"ล")+COUNTIF(GU9:GU13,"ป"))</f>
        <v/>
      </c>
      <c r="GV15" s="273">
        <f>IF(GV$4&lt;&gt;1,"",COUNTIF(GV9:GV13,"ล")+COUNTIF(GV9:GV13,"ป"))</f>
        <v/>
      </c>
      <c r="GW15" s="274" t="n"/>
      <c r="GX15" s="275" t="n"/>
      <c r="GY15" s="276" t="n"/>
    </row>
    <row r="16">
      <c r="A16" s="271" t="inlineStr">
        <is>
          <t>ขาด (คน)</t>
        </is>
      </c>
      <c r="B16" s="184" t="n"/>
      <c r="C16" s="184" t="n"/>
      <c r="D16" s="272">
        <f>IF(D$4&lt;&gt;1,"",COUNTIF(D9:D13,"ข"))</f>
        <v/>
      </c>
      <c r="E16" s="273">
        <f>IF(E$4&lt;&gt;1,"",COUNTIF(E9:E13,"ข"))</f>
        <v/>
      </c>
      <c r="F16" s="273">
        <f>IF(F$4&lt;&gt;1,"",COUNTIF(F9:F13,"ข"))</f>
        <v/>
      </c>
      <c r="G16" s="273">
        <f>IF(G$4&lt;&gt;1,"",COUNTIF(G9:G13,"ข"))</f>
        <v/>
      </c>
      <c r="H16" s="273">
        <f>IF(H$4&lt;&gt;1,"",COUNTIF(H9:H13,"ข"))</f>
        <v/>
      </c>
      <c r="I16" s="273">
        <f>IF(I$4&lt;&gt;1,"",COUNTIF(I9:I13,"ข"))</f>
        <v/>
      </c>
      <c r="J16" s="273">
        <f>IF(J$4&lt;&gt;1,"",COUNTIF(J9:J13,"ข"))</f>
        <v/>
      </c>
      <c r="K16" s="273">
        <f>IF(K$4&lt;&gt;1,"",COUNTIF(K9:K13,"ข"))</f>
        <v/>
      </c>
      <c r="L16" s="273">
        <f>IF(L$4&lt;&gt;1,"",COUNTIF(L9:L13,"ข"))</f>
        <v/>
      </c>
      <c r="M16" s="273">
        <f>IF(M$4&lt;&gt;1,"",COUNTIF(M9:M13,"ข"))</f>
        <v/>
      </c>
      <c r="N16" s="273">
        <f>IF(N$4&lt;&gt;1,"",COUNTIF(N9:N13,"ข"))</f>
        <v/>
      </c>
      <c r="O16" s="273">
        <f>IF(O$4&lt;&gt;1,"",COUNTIF(O9:O13,"ข"))</f>
        <v/>
      </c>
      <c r="P16" s="273">
        <f>IF(P$4&lt;&gt;1,"",COUNTIF(P9:P13,"ข"))</f>
        <v/>
      </c>
      <c r="Q16" s="273">
        <f>IF(Q$4&lt;&gt;1,"",COUNTIF(Q9:Q13,"ข"))</f>
        <v/>
      </c>
      <c r="R16" s="273">
        <f>IF(R$4&lt;&gt;1,"",COUNTIF(R9:R13,"ข"))</f>
        <v/>
      </c>
      <c r="S16" s="273">
        <f>IF(S$4&lt;&gt;1,"",COUNTIF(S9:S13,"ข"))</f>
        <v/>
      </c>
      <c r="T16" s="273">
        <f>IF(T$4&lt;&gt;1,"",COUNTIF(T9:T13,"ข"))</f>
        <v/>
      </c>
      <c r="U16" s="273">
        <f>IF(U$4&lt;&gt;1,"",COUNTIF(U9:U13,"ข"))</f>
        <v/>
      </c>
      <c r="V16" s="273">
        <f>IF(V$4&lt;&gt;1,"",COUNTIF(V9:V13,"ข"))</f>
        <v/>
      </c>
      <c r="W16" s="273">
        <f>IF(W$4&lt;&gt;1,"",COUNTIF(W9:W13,"ข"))</f>
        <v/>
      </c>
      <c r="X16" s="273">
        <f>IF(X$4&lt;&gt;1,"",COUNTIF(X9:X13,"ข"))</f>
        <v/>
      </c>
      <c r="Y16" s="273">
        <f>IF(Y$4&lt;&gt;1,"",COUNTIF(Y9:Y13,"ข"))</f>
        <v/>
      </c>
      <c r="Z16" s="273">
        <f>IF(Z$4&lt;&gt;1,"",COUNTIF(Z9:Z13,"ข"))</f>
        <v/>
      </c>
      <c r="AA16" s="273">
        <f>IF(AA$4&lt;&gt;1,"",COUNTIF(AA9:AA13,"ข"))</f>
        <v/>
      </c>
      <c r="AB16" s="273">
        <f>IF(AB$4&lt;&gt;1,"",COUNTIF(AB9:AB13,"ข"))</f>
        <v/>
      </c>
      <c r="AC16" s="273">
        <f>IF(AC$4&lt;&gt;1,"",COUNTIF(AC9:AC13,"ข"))</f>
        <v/>
      </c>
      <c r="AD16" s="273">
        <f>IF(AD$4&lt;&gt;1,"",COUNTIF(AD9:AD13,"ข"))</f>
        <v/>
      </c>
      <c r="AE16" s="273">
        <f>IF(AE$4&lt;&gt;1,"",COUNTIF(AE9:AE13,"ข"))</f>
        <v/>
      </c>
      <c r="AF16" s="273">
        <f>IF(AF$4&lt;&gt;1,"",COUNTIF(AF9:AF13,"ข"))</f>
        <v/>
      </c>
      <c r="AG16" s="273">
        <f>IF(AG$4&lt;&gt;1,"",COUNTIF(AG9:AG13,"ข"))</f>
        <v/>
      </c>
      <c r="AH16" s="273">
        <f>IF(AH$4&lt;&gt;1,"",COUNTIF(AH9:AH13,"ข"))</f>
        <v/>
      </c>
      <c r="AI16" s="274" t="n"/>
      <c r="AJ16" s="275" t="n"/>
      <c r="AK16" s="276" t="n"/>
      <c r="AL16" s="272">
        <f>IF(AL$4&lt;&gt;1,"",COUNTIF(AL9:AL13,"ข"))</f>
        <v/>
      </c>
      <c r="AM16" s="273">
        <f>IF(AM$4&lt;&gt;1,"",COUNTIF(AM9:AM13,"ข"))</f>
        <v/>
      </c>
      <c r="AN16" s="273">
        <f>IF(AN$4&lt;&gt;1,"",COUNTIF(AN9:AN13,"ข"))</f>
        <v/>
      </c>
      <c r="AO16" s="273">
        <f>IF(AO$4&lt;&gt;1,"",COUNTIF(AO9:AO13,"ข"))</f>
        <v/>
      </c>
      <c r="AP16" s="273">
        <f>IF(AP$4&lt;&gt;1,"",COUNTIF(AP9:AP13,"ข"))</f>
        <v/>
      </c>
      <c r="AQ16" s="273">
        <f>IF(AQ$4&lt;&gt;1,"",COUNTIF(AQ9:AQ13,"ข"))</f>
        <v/>
      </c>
      <c r="AR16" s="273">
        <f>IF(AR$4&lt;&gt;1,"",COUNTIF(AR9:AR13,"ข"))</f>
        <v/>
      </c>
      <c r="AS16" s="273">
        <f>IF(AS$4&lt;&gt;1,"",COUNTIF(AS9:AS13,"ข"))</f>
        <v/>
      </c>
      <c r="AT16" s="273">
        <f>IF(AT$4&lt;&gt;1,"",COUNTIF(AT9:AT13,"ข"))</f>
        <v/>
      </c>
      <c r="AU16" s="273">
        <f>IF(AU$4&lt;&gt;1,"",COUNTIF(AU9:AU13,"ข"))</f>
        <v/>
      </c>
      <c r="AV16" s="273">
        <f>IF(AV$4&lt;&gt;1,"",COUNTIF(AV9:AV13,"ข"))</f>
        <v/>
      </c>
      <c r="AW16" s="273">
        <f>IF(AW$4&lt;&gt;1,"",COUNTIF(AW9:AW13,"ข"))</f>
        <v/>
      </c>
      <c r="AX16" s="273">
        <f>IF(AX$4&lt;&gt;1,"",COUNTIF(AX9:AX13,"ข"))</f>
        <v/>
      </c>
      <c r="AY16" s="273">
        <f>IF(AY$4&lt;&gt;1,"",COUNTIF(AY9:AY13,"ข"))</f>
        <v/>
      </c>
      <c r="AZ16" s="273">
        <f>IF(AZ$4&lt;&gt;1,"",COUNTIF(AZ9:AZ13,"ข"))</f>
        <v/>
      </c>
      <c r="BA16" s="273">
        <f>IF(BA$4&lt;&gt;1,"",COUNTIF(BA9:BA13,"ข"))</f>
        <v/>
      </c>
      <c r="BB16" s="273">
        <f>IF(BB$4&lt;&gt;1,"",COUNTIF(BB9:BB13,"ข"))</f>
        <v/>
      </c>
      <c r="BC16" s="273">
        <f>IF(BC$4&lt;&gt;1,"",COUNTIF(BC9:BC13,"ข"))</f>
        <v/>
      </c>
      <c r="BD16" s="273">
        <f>IF(BD$4&lt;&gt;1,"",COUNTIF(BD9:BD13,"ข"))</f>
        <v/>
      </c>
      <c r="BE16" s="273">
        <f>IF(BE$4&lt;&gt;1,"",COUNTIF(BE9:BE13,"ข"))</f>
        <v/>
      </c>
      <c r="BF16" s="273">
        <f>IF(BF$4&lt;&gt;1,"",COUNTIF(BF9:BF13,"ข"))</f>
        <v/>
      </c>
      <c r="BG16" s="273">
        <f>IF(BG$4&lt;&gt;1,"",COUNTIF(BG9:BG13,"ข"))</f>
        <v/>
      </c>
      <c r="BH16" s="273">
        <f>IF(BH$4&lt;&gt;1,"",COUNTIF(BH9:BH13,"ข"))</f>
        <v/>
      </c>
      <c r="BI16" s="273">
        <f>IF(BI$4&lt;&gt;1,"",COUNTIF(BI9:BI13,"ข"))</f>
        <v/>
      </c>
      <c r="BJ16" s="273">
        <f>IF(BJ$4&lt;&gt;1,"",COUNTIF(BJ9:BJ13,"ข"))</f>
        <v/>
      </c>
      <c r="BK16" s="273">
        <f>IF(BK$4&lt;&gt;1,"",COUNTIF(BK9:BK13,"ข"))</f>
        <v/>
      </c>
      <c r="BL16" s="273">
        <f>IF(BL$4&lt;&gt;1,"",COUNTIF(BL9:BL13,"ข"))</f>
        <v/>
      </c>
      <c r="BM16" s="273">
        <f>IF(BM$4&lt;&gt;1,"",COUNTIF(BM9:BM13,"ข"))</f>
        <v/>
      </c>
      <c r="BN16" s="273">
        <f>IF(BN$4&lt;&gt;1,"",COUNTIF(BN9:BN13,"ข"))</f>
        <v/>
      </c>
      <c r="BO16" s="273">
        <f>IF(BO$4&lt;&gt;1,"",COUNTIF(BO9:BO13,"ข"))</f>
        <v/>
      </c>
      <c r="BP16" s="273">
        <f>IF(BP$4&lt;&gt;1,"",COUNTIF(BP9:BP13,"ข"))</f>
        <v/>
      </c>
      <c r="BQ16" s="274" t="n"/>
      <c r="BR16" s="275" t="n"/>
      <c r="BS16" s="276" t="n"/>
      <c r="BT16" s="272">
        <f>IF(BT$4&lt;&gt;1,"",COUNTIF(BT9:BT13,"ข"))</f>
        <v/>
      </c>
      <c r="BU16" s="273">
        <f>IF(BU$4&lt;&gt;1,"",COUNTIF(BU9:BU13,"ข"))</f>
        <v/>
      </c>
      <c r="BV16" s="273">
        <f>IF(BV$4&lt;&gt;1,"",COUNTIF(BV9:BV13,"ข"))</f>
        <v/>
      </c>
      <c r="BW16" s="273">
        <f>IF(BW$4&lt;&gt;1,"",COUNTIF(BW9:BW13,"ข"))</f>
        <v/>
      </c>
      <c r="BX16" s="273">
        <f>IF(BX$4&lt;&gt;1,"",COUNTIF(BX9:BX13,"ข"))</f>
        <v/>
      </c>
      <c r="BY16" s="273">
        <f>IF(BY$4&lt;&gt;1,"",COUNTIF(BY9:BY13,"ข"))</f>
        <v/>
      </c>
      <c r="BZ16" s="273">
        <f>IF(BZ$4&lt;&gt;1,"",COUNTIF(BZ9:BZ13,"ข"))</f>
        <v/>
      </c>
      <c r="CA16" s="273">
        <f>IF(CA$4&lt;&gt;1,"",COUNTIF(CA9:CA13,"ข"))</f>
        <v/>
      </c>
      <c r="CB16" s="273">
        <f>IF(CB$4&lt;&gt;1,"",COUNTIF(CB9:CB13,"ข"))</f>
        <v/>
      </c>
      <c r="CC16" s="273">
        <f>IF(CC$4&lt;&gt;1,"",COUNTIF(CC9:CC13,"ข"))</f>
        <v/>
      </c>
      <c r="CD16" s="273">
        <f>IF(CD$4&lt;&gt;1,"",COUNTIF(CD9:CD13,"ข"))</f>
        <v/>
      </c>
      <c r="CE16" s="273">
        <f>IF(CE$4&lt;&gt;1,"",COUNTIF(CE9:CE13,"ข"))</f>
        <v/>
      </c>
      <c r="CF16" s="273">
        <f>IF(CF$4&lt;&gt;1,"",COUNTIF(CF9:CF13,"ข"))</f>
        <v/>
      </c>
      <c r="CG16" s="273">
        <f>IF(CG$4&lt;&gt;1,"",COUNTIF(CG9:CG13,"ข"))</f>
        <v/>
      </c>
      <c r="CH16" s="273">
        <f>IF(CH$4&lt;&gt;1,"",COUNTIF(CH9:CH13,"ข"))</f>
        <v/>
      </c>
      <c r="CI16" s="273">
        <f>IF(CI$4&lt;&gt;1,"",COUNTIF(CI9:CI13,"ข"))</f>
        <v/>
      </c>
      <c r="CJ16" s="273">
        <f>IF(CJ$4&lt;&gt;1,"",COUNTIF(CJ9:CJ13,"ข"))</f>
        <v/>
      </c>
      <c r="CK16" s="273">
        <f>IF(CK$4&lt;&gt;1,"",COUNTIF(CK9:CK13,"ข"))</f>
        <v/>
      </c>
      <c r="CL16" s="273">
        <f>IF(CL$4&lt;&gt;1,"",COUNTIF(CL9:CL13,"ข"))</f>
        <v/>
      </c>
      <c r="CM16" s="273">
        <f>IF(CM$4&lt;&gt;1,"",COUNTIF(CM9:CM13,"ข"))</f>
        <v/>
      </c>
      <c r="CN16" s="273">
        <f>IF(CN$4&lt;&gt;1,"",COUNTIF(CN9:CN13,"ข"))</f>
        <v/>
      </c>
      <c r="CO16" s="273">
        <f>IF(CO$4&lt;&gt;1,"",COUNTIF(CO9:CO13,"ข"))</f>
        <v/>
      </c>
      <c r="CP16" s="273">
        <f>IF(CP$4&lt;&gt;1,"",COUNTIF(CP9:CP13,"ข"))</f>
        <v/>
      </c>
      <c r="CQ16" s="273">
        <f>IF(CQ$4&lt;&gt;1,"",COUNTIF(CQ9:CQ13,"ข"))</f>
        <v/>
      </c>
      <c r="CR16" s="273">
        <f>IF(CR$4&lt;&gt;1,"",COUNTIF(CR9:CR13,"ข"))</f>
        <v/>
      </c>
      <c r="CS16" s="273">
        <f>IF(CS$4&lt;&gt;1,"",COUNTIF(CS9:CS13,"ข"))</f>
        <v/>
      </c>
      <c r="CT16" s="273">
        <f>IF(CT$4&lt;&gt;1,"",COUNTIF(CT9:CT13,"ข"))</f>
        <v/>
      </c>
      <c r="CU16" s="273">
        <f>IF(CU$4&lt;&gt;1,"",COUNTIF(CU9:CU13,"ข"))</f>
        <v/>
      </c>
      <c r="CV16" s="273">
        <f>IF(CV$4&lt;&gt;1,"",COUNTIF(CV9:CV13,"ข"))</f>
        <v/>
      </c>
      <c r="CW16" s="273">
        <f>IF(CW$4&lt;&gt;1,"",COUNTIF(CW9:CW13,"ข"))</f>
        <v/>
      </c>
      <c r="CX16" s="273">
        <f>IF(CX$4&lt;&gt;1,"",COUNTIF(CX9:CX13,"ข"))</f>
        <v/>
      </c>
      <c r="CY16" s="274" t="n"/>
      <c r="CZ16" s="275" t="n"/>
      <c r="DA16" s="276" t="n"/>
      <c r="DB16" s="272">
        <f>IF(DB$4&lt;&gt;1,"",COUNTIF(DB9:DB13,"ข"))</f>
        <v/>
      </c>
      <c r="DC16" s="273">
        <f>IF(DC$4&lt;&gt;1,"",COUNTIF(DC9:DC13,"ข"))</f>
        <v/>
      </c>
      <c r="DD16" s="273">
        <f>IF(DD$4&lt;&gt;1,"",COUNTIF(DD9:DD13,"ข"))</f>
        <v/>
      </c>
      <c r="DE16" s="273">
        <f>IF(DE$4&lt;&gt;1,"",COUNTIF(DE9:DE13,"ข"))</f>
        <v/>
      </c>
      <c r="DF16" s="273">
        <f>IF(DF$4&lt;&gt;1,"",COUNTIF(DF9:DF13,"ข"))</f>
        <v/>
      </c>
      <c r="DG16" s="273">
        <f>IF(DG$4&lt;&gt;1,"",COUNTIF(DG9:DG13,"ข"))</f>
        <v/>
      </c>
      <c r="DH16" s="273">
        <f>IF(DH$4&lt;&gt;1,"",COUNTIF(DH9:DH13,"ข"))</f>
        <v/>
      </c>
      <c r="DI16" s="273">
        <f>IF(DI$4&lt;&gt;1,"",COUNTIF(DI9:DI13,"ข"))</f>
        <v/>
      </c>
      <c r="DJ16" s="273">
        <f>IF(DJ$4&lt;&gt;1,"",COUNTIF(DJ9:DJ13,"ข"))</f>
        <v/>
      </c>
      <c r="DK16" s="273">
        <f>IF(DK$4&lt;&gt;1,"",COUNTIF(DK9:DK13,"ข"))</f>
        <v/>
      </c>
      <c r="DL16" s="273">
        <f>IF(DL$4&lt;&gt;1,"",COUNTIF(DL9:DL13,"ข"))</f>
        <v/>
      </c>
      <c r="DM16" s="273">
        <f>IF(DM$4&lt;&gt;1,"",COUNTIF(DM9:DM13,"ข"))</f>
        <v/>
      </c>
      <c r="DN16" s="273">
        <f>IF(DN$4&lt;&gt;1,"",COUNTIF(DN9:DN13,"ข"))</f>
        <v/>
      </c>
      <c r="DO16" s="273">
        <f>IF(DO$4&lt;&gt;1,"",COUNTIF(DO9:DO13,"ข"))</f>
        <v/>
      </c>
      <c r="DP16" s="273">
        <f>IF(DP$4&lt;&gt;1,"",COUNTIF(DP9:DP13,"ข"))</f>
        <v/>
      </c>
      <c r="DQ16" s="273">
        <f>IF(DQ$4&lt;&gt;1,"",COUNTIF(DQ9:DQ13,"ข"))</f>
        <v/>
      </c>
      <c r="DR16" s="273">
        <f>IF(DR$4&lt;&gt;1,"",COUNTIF(DR9:DR13,"ข"))</f>
        <v/>
      </c>
      <c r="DS16" s="273">
        <f>IF(DS$4&lt;&gt;1,"",COUNTIF(DS9:DS13,"ข"))</f>
        <v/>
      </c>
      <c r="DT16" s="273">
        <f>IF(DT$4&lt;&gt;1,"",COUNTIF(DT9:DT13,"ข"))</f>
        <v/>
      </c>
      <c r="DU16" s="273">
        <f>IF(DU$4&lt;&gt;1,"",COUNTIF(DU9:DU13,"ข"))</f>
        <v/>
      </c>
      <c r="DV16" s="273">
        <f>IF(DV$4&lt;&gt;1,"",COUNTIF(DV9:DV13,"ข"))</f>
        <v/>
      </c>
      <c r="DW16" s="273">
        <f>IF(DW$4&lt;&gt;1,"",COUNTIF(DW9:DW13,"ข"))</f>
        <v/>
      </c>
      <c r="DX16" s="273">
        <f>IF(DX$4&lt;&gt;1,"",COUNTIF(DX9:DX13,"ข"))</f>
        <v/>
      </c>
      <c r="DY16" s="273">
        <f>IF(DY$4&lt;&gt;1,"",COUNTIF(DY9:DY13,"ข"))</f>
        <v/>
      </c>
      <c r="DZ16" s="273">
        <f>IF(DZ$4&lt;&gt;1,"",COUNTIF(DZ9:DZ13,"ข"))</f>
        <v/>
      </c>
      <c r="EA16" s="273">
        <f>IF(EA$4&lt;&gt;1,"",COUNTIF(EA9:EA13,"ข"))</f>
        <v/>
      </c>
      <c r="EB16" s="273">
        <f>IF(EB$4&lt;&gt;1,"",COUNTIF(EB9:EB13,"ข"))</f>
        <v/>
      </c>
      <c r="EC16" s="273">
        <f>IF(EC$4&lt;&gt;1,"",COUNTIF(EC9:EC13,"ข"))</f>
        <v/>
      </c>
      <c r="ED16" s="273">
        <f>IF(ED$4&lt;&gt;1,"",COUNTIF(ED9:ED13,"ข"))</f>
        <v/>
      </c>
      <c r="EE16" s="273">
        <f>IF(EE$4&lt;&gt;1,"",COUNTIF(EE9:EE13,"ข"))</f>
        <v/>
      </c>
      <c r="EF16" s="273">
        <f>IF(EF$4&lt;&gt;1,"",COUNTIF(EF9:EF13,"ข"))</f>
        <v/>
      </c>
      <c r="EG16" s="274" t="n"/>
      <c r="EH16" s="275" t="n"/>
      <c r="EI16" s="276" t="n"/>
      <c r="EJ16" s="272">
        <f>IF(EJ$4&lt;&gt;1,"",COUNTIF(EJ9:EJ13,"ข"))</f>
        <v/>
      </c>
      <c r="EK16" s="273">
        <f>IF(EK$4&lt;&gt;1,"",COUNTIF(EK9:EK13,"ข"))</f>
        <v/>
      </c>
      <c r="EL16" s="273">
        <f>IF(EL$4&lt;&gt;1,"",COUNTIF(EL9:EL13,"ข"))</f>
        <v/>
      </c>
      <c r="EM16" s="273">
        <f>IF(EM$4&lt;&gt;1,"",COUNTIF(EM9:EM13,"ข"))</f>
        <v/>
      </c>
      <c r="EN16" s="273">
        <f>IF(EN$4&lt;&gt;1,"",COUNTIF(EN9:EN13,"ข"))</f>
        <v/>
      </c>
      <c r="EO16" s="273">
        <f>IF(EO$4&lt;&gt;1,"",COUNTIF(EO9:EO13,"ข"))</f>
        <v/>
      </c>
      <c r="EP16" s="273">
        <f>IF(EP$4&lt;&gt;1,"",COUNTIF(EP9:EP13,"ข"))</f>
        <v/>
      </c>
      <c r="EQ16" s="273">
        <f>IF(EQ$4&lt;&gt;1,"",COUNTIF(EQ9:EQ13,"ข"))</f>
        <v/>
      </c>
      <c r="ER16" s="273">
        <f>IF(ER$4&lt;&gt;1,"",COUNTIF(ER9:ER13,"ข"))</f>
        <v/>
      </c>
      <c r="ES16" s="273">
        <f>IF(ES$4&lt;&gt;1,"",COUNTIF(ES9:ES13,"ข"))</f>
        <v/>
      </c>
      <c r="ET16" s="273">
        <f>IF(ET$4&lt;&gt;1,"",COUNTIF(ET9:ET13,"ข"))</f>
        <v/>
      </c>
      <c r="EU16" s="273">
        <f>IF(EU$4&lt;&gt;1,"",COUNTIF(EU9:EU13,"ข"))</f>
        <v/>
      </c>
      <c r="EV16" s="273">
        <f>IF(EV$4&lt;&gt;1,"",COUNTIF(EV9:EV13,"ข"))</f>
        <v/>
      </c>
      <c r="EW16" s="273">
        <f>IF(EW$4&lt;&gt;1,"",COUNTIF(EW9:EW13,"ข"))</f>
        <v/>
      </c>
      <c r="EX16" s="273">
        <f>IF(EX$4&lt;&gt;1,"",COUNTIF(EX9:EX13,"ข"))</f>
        <v/>
      </c>
      <c r="EY16" s="273">
        <f>IF(EY$4&lt;&gt;1,"",COUNTIF(EY9:EY13,"ข"))</f>
        <v/>
      </c>
      <c r="EZ16" s="273">
        <f>IF(EZ$4&lt;&gt;1,"",COUNTIF(EZ9:EZ13,"ข"))</f>
        <v/>
      </c>
      <c r="FA16" s="273">
        <f>IF(FA$4&lt;&gt;1,"",COUNTIF(FA9:FA13,"ข"))</f>
        <v/>
      </c>
      <c r="FB16" s="273">
        <f>IF(FB$4&lt;&gt;1,"",COUNTIF(FB9:FB13,"ข"))</f>
        <v/>
      </c>
      <c r="FC16" s="273">
        <f>IF(FC$4&lt;&gt;1,"",COUNTIF(FC9:FC13,"ข"))</f>
        <v/>
      </c>
      <c r="FD16" s="273">
        <f>IF(FD$4&lt;&gt;1,"",COUNTIF(FD9:FD13,"ข"))</f>
        <v/>
      </c>
      <c r="FE16" s="273">
        <f>IF(FE$4&lt;&gt;1,"",COUNTIF(FE9:FE13,"ข"))</f>
        <v/>
      </c>
      <c r="FF16" s="273">
        <f>IF(FF$4&lt;&gt;1,"",COUNTIF(FF9:FF13,"ข"))</f>
        <v/>
      </c>
      <c r="FG16" s="273">
        <f>IF(FG$4&lt;&gt;1,"",COUNTIF(FG9:FG13,"ข"))</f>
        <v/>
      </c>
      <c r="FH16" s="273">
        <f>IF(FH$4&lt;&gt;1,"",COUNTIF(FH9:FH13,"ข"))</f>
        <v/>
      </c>
      <c r="FI16" s="273">
        <f>IF(FI$4&lt;&gt;1,"",COUNTIF(FI9:FI13,"ข"))</f>
        <v/>
      </c>
      <c r="FJ16" s="273">
        <f>IF(FJ$4&lt;&gt;1,"",COUNTIF(FJ9:FJ13,"ข"))</f>
        <v/>
      </c>
      <c r="FK16" s="273">
        <f>IF(FK$4&lt;&gt;1,"",COUNTIF(FK9:FK13,"ข"))</f>
        <v/>
      </c>
      <c r="FL16" s="273">
        <f>IF(FL$4&lt;&gt;1,"",COUNTIF(FL9:FL13,"ข"))</f>
        <v/>
      </c>
      <c r="FM16" s="273">
        <f>IF(FM$4&lt;&gt;1,"",COUNTIF(FM9:FM13,"ข"))</f>
        <v/>
      </c>
      <c r="FN16" s="273">
        <f>IF(FN$4&lt;&gt;1,"",COUNTIF(FN9:FN13,"ข"))</f>
        <v/>
      </c>
      <c r="FO16" s="274" t="n"/>
      <c r="FP16" s="275" t="n"/>
      <c r="FQ16" s="276" t="n"/>
      <c r="FR16" s="272">
        <f>IF(FR$4&lt;&gt;1,"",COUNTIF(FR9:FR13,"ข"))</f>
        <v/>
      </c>
      <c r="FS16" s="273">
        <f>IF(FS$4&lt;&gt;1,"",COUNTIF(FS9:FS13,"ข"))</f>
        <v/>
      </c>
      <c r="FT16" s="273">
        <f>IF(FT$4&lt;&gt;1,"",COUNTIF(FT9:FT13,"ข"))</f>
        <v/>
      </c>
      <c r="FU16" s="273">
        <f>IF(FU$4&lt;&gt;1,"",COUNTIF(FU9:FU13,"ข"))</f>
        <v/>
      </c>
      <c r="FV16" s="273">
        <f>IF(FV$4&lt;&gt;1,"",COUNTIF(FV9:FV13,"ข"))</f>
        <v/>
      </c>
      <c r="FW16" s="273">
        <f>IF(FW$4&lt;&gt;1,"",COUNTIF(FW9:FW13,"ข"))</f>
        <v/>
      </c>
      <c r="FX16" s="273">
        <f>IF(FX$4&lt;&gt;1,"",COUNTIF(FX9:FX13,"ข"))</f>
        <v/>
      </c>
      <c r="FY16" s="273">
        <f>IF(FY$4&lt;&gt;1,"",COUNTIF(FY9:FY13,"ข"))</f>
        <v/>
      </c>
      <c r="FZ16" s="273">
        <f>IF(FZ$4&lt;&gt;1,"",COUNTIF(FZ9:FZ13,"ข"))</f>
        <v/>
      </c>
      <c r="GA16" s="273">
        <f>IF(GA$4&lt;&gt;1,"",COUNTIF(GA9:GA13,"ข"))</f>
        <v/>
      </c>
      <c r="GB16" s="273">
        <f>IF(GB$4&lt;&gt;1,"",COUNTIF(GB9:GB13,"ข"))</f>
        <v/>
      </c>
      <c r="GC16" s="273">
        <f>IF(GC$4&lt;&gt;1,"",COUNTIF(GC9:GC13,"ข"))</f>
        <v/>
      </c>
      <c r="GD16" s="273">
        <f>IF(GD$4&lt;&gt;1,"",COUNTIF(GD9:GD13,"ข"))</f>
        <v/>
      </c>
      <c r="GE16" s="273">
        <f>IF(GE$4&lt;&gt;1,"",COUNTIF(GE9:GE13,"ข"))</f>
        <v/>
      </c>
      <c r="GF16" s="273">
        <f>IF(GF$4&lt;&gt;1,"",COUNTIF(GF9:GF13,"ข"))</f>
        <v/>
      </c>
      <c r="GG16" s="273">
        <f>IF(GG$4&lt;&gt;1,"",COUNTIF(GG9:GG13,"ข"))</f>
        <v/>
      </c>
      <c r="GH16" s="273">
        <f>IF(GH$4&lt;&gt;1,"",COUNTIF(GH9:GH13,"ข"))</f>
        <v/>
      </c>
      <c r="GI16" s="273">
        <f>IF(GI$4&lt;&gt;1,"",COUNTIF(GI9:GI13,"ข"))</f>
        <v/>
      </c>
      <c r="GJ16" s="273">
        <f>IF(GJ$4&lt;&gt;1,"",COUNTIF(GJ9:GJ13,"ข"))</f>
        <v/>
      </c>
      <c r="GK16" s="273">
        <f>IF(GK$4&lt;&gt;1,"",COUNTIF(GK9:GK13,"ข"))</f>
        <v/>
      </c>
      <c r="GL16" s="273">
        <f>IF(GL$4&lt;&gt;1,"",COUNTIF(GL9:GL13,"ข"))</f>
        <v/>
      </c>
      <c r="GM16" s="273">
        <f>IF(GM$4&lt;&gt;1,"",COUNTIF(GM9:GM13,"ข"))</f>
        <v/>
      </c>
      <c r="GN16" s="273">
        <f>IF(GN$4&lt;&gt;1,"",COUNTIF(GN9:GN13,"ข"))</f>
        <v/>
      </c>
      <c r="GO16" s="273">
        <f>IF(GO$4&lt;&gt;1,"",COUNTIF(GO9:GO13,"ข"))</f>
        <v/>
      </c>
      <c r="GP16" s="273">
        <f>IF(GP$4&lt;&gt;1,"",COUNTIF(GP9:GP13,"ข"))</f>
        <v/>
      </c>
      <c r="GQ16" s="273">
        <f>IF(GQ$4&lt;&gt;1,"",COUNTIF(GQ9:GQ13,"ข"))</f>
        <v/>
      </c>
      <c r="GR16" s="273">
        <f>IF(GR$4&lt;&gt;1,"",COUNTIF(GR9:GR13,"ข"))</f>
        <v/>
      </c>
      <c r="GS16" s="273">
        <f>IF(GS$4&lt;&gt;1,"",COUNTIF(GS9:GS13,"ข"))</f>
        <v/>
      </c>
      <c r="GT16" s="273">
        <f>IF(GT$4&lt;&gt;1,"",COUNTIF(GT9:GT13,"ข"))</f>
        <v/>
      </c>
      <c r="GU16" s="273">
        <f>IF(GU$4&lt;&gt;1,"",COUNTIF(GU9:GU13,"ข"))</f>
        <v/>
      </c>
      <c r="GV16" s="273">
        <f>IF(GV$4&lt;&gt;1,"",COUNTIF(GV9:GV13,"ข"))</f>
        <v/>
      </c>
      <c r="GW16" s="274" t="n"/>
      <c r="GX16" s="275" t="n"/>
      <c r="GY16" s="276" t="n"/>
    </row>
    <row r="17">
      <c r="A17" s="271" t="inlineStr">
        <is>
          <t>ยังไม่บันทึก (คน)</t>
        </is>
      </c>
      <c r="B17" s="184" t="n"/>
      <c r="C17" s="184" t="n"/>
      <c r="D17" s="272">
        <f>IF(D$4&lt;&gt;1,"",COUNTIF('ข้อมูลนักเรียน'!$E$9:$E$13,"?*")-COUNTA(D9:D13))</f>
        <v/>
      </c>
      <c r="E17" s="273">
        <f>IF(E$4&lt;&gt;1,"",COUNTIF('ข้อมูลนักเรียน'!$E$9:$E$13,"?*")-COUNTA(E9:E13))</f>
        <v/>
      </c>
      <c r="F17" s="273">
        <f>IF(F$4&lt;&gt;1,"",COUNTIF('ข้อมูลนักเรียน'!$E$9:$E$13,"?*")-COUNTA(F9:F13))</f>
        <v/>
      </c>
      <c r="G17" s="273">
        <f>IF(G$4&lt;&gt;1,"",COUNTIF('ข้อมูลนักเรียน'!$E$9:$E$13,"?*")-COUNTA(G9:G13))</f>
        <v/>
      </c>
      <c r="H17" s="273">
        <f>IF(H$4&lt;&gt;1,"",COUNTIF('ข้อมูลนักเรียน'!$E$9:$E$13,"?*")-COUNTA(H9:H13))</f>
        <v/>
      </c>
      <c r="I17" s="273">
        <f>IF(I$4&lt;&gt;1,"",COUNTIF('ข้อมูลนักเรียน'!$E$9:$E$13,"?*")-COUNTA(I9:I13))</f>
        <v/>
      </c>
      <c r="J17" s="273">
        <f>IF(J$4&lt;&gt;1,"",COUNTIF('ข้อมูลนักเรียน'!$E$9:$E$13,"?*")-COUNTA(J9:J13))</f>
        <v/>
      </c>
      <c r="K17" s="273">
        <f>IF(K$4&lt;&gt;1,"",COUNTIF('ข้อมูลนักเรียน'!$E$9:$E$13,"?*")-COUNTA(K9:K13))</f>
        <v/>
      </c>
      <c r="L17" s="273">
        <f>IF(L$4&lt;&gt;1,"",COUNTIF('ข้อมูลนักเรียน'!$E$9:$E$13,"?*")-COUNTA(L9:L13))</f>
        <v/>
      </c>
      <c r="M17" s="273">
        <f>IF(M$4&lt;&gt;1,"",COUNTIF('ข้อมูลนักเรียน'!$E$9:$E$13,"?*")-COUNTA(M9:M13))</f>
        <v/>
      </c>
      <c r="N17" s="273">
        <f>IF(N$4&lt;&gt;1,"",COUNTIF('ข้อมูลนักเรียน'!$E$9:$E$13,"?*")-COUNTA(N9:N13))</f>
        <v/>
      </c>
      <c r="O17" s="273">
        <f>IF(O$4&lt;&gt;1,"",COUNTIF('ข้อมูลนักเรียน'!$E$9:$E$13,"?*")-COUNTA(O9:O13))</f>
        <v/>
      </c>
      <c r="P17" s="273">
        <f>IF(P$4&lt;&gt;1,"",COUNTIF('ข้อมูลนักเรียน'!$E$9:$E$13,"?*")-COUNTA(P9:P13))</f>
        <v/>
      </c>
      <c r="Q17" s="273">
        <f>IF(Q$4&lt;&gt;1,"",COUNTIF('ข้อมูลนักเรียน'!$E$9:$E$13,"?*")-COUNTA(Q9:Q13))</f>
        <v/>
      </c>
      <c r="R17" s="273">
        <f>IF(R$4&lt;&gt;1,"",COUNTIF('ข้อมูลนักเรียน'!$E$9:$E$13,"?*")-COUNTA(R9:R13))</f>
        <v/>
      </c>
      <c r="S17" s="273">
        <f>IF(S$4&lt;&gt;1,"",COUNTIF('ข้อมูลนักเรียน'!$E$9:$E$13,"?*")-COUNTA(S9:S13))</f>
        <v/>
      </c>
      <c r="T17" s="273">
        <f>IF(T$4&lt;&gt;1,"",COUNTIF('ข้อมูลนักเรียน'!$E$9:$E$13,"?*")-COUNTA(T9:T13))</f>
        <v/>
      </c>
      <c r="U17" s="273">
        <f>IF(U$4&lt;&gt;1,"",COUNTIF('ข้อมูลนักเรียน'!$E$9:$E$13,"?*")-COUNTA(U9:U13))</f>
        <v/>
      </c>
      <c r="V17" s="273">
        <f>IF(V$4&lt;&gt;1,"",COUNTIF('ข้อมูลนักเรียน'!$E$9:$E$13,"?*")-COUNTA(V9:V13))</f>
        <v/>
      </c>
      <c r="W17" s="273">
        <f>IF(W$4&lt;&gt;1,"",COUNTIF('ข้อมูลนักเรียน'!$E$9:$E$13,"?*")-COUNTA(W9:W13))</f>
        <v/>
      </c>
      <c r="X17" s="273">
        <f>IF(X$4&lt;&gt;1,"",COUNTIF('ข้อมูลนักเรียน'!$E$9:$E$13,"?*")-COUNTA(X9:X13))</f>
        <v/>
      </c>
      <c r="Y17" s="273">
        <f>IF(Y$4&lt;&gt;1,"",COUNTIF('ข้อมูลนักเรียน'!$E$9:$E$13,"?*")-COUNTA(Y9:Y13))</f>
        <v/>
      </c>
      <c r="Z17" s="273">
        <f>IF(Z$4&lt;&gt;1,"",COUNTIF('ข้อมูลนักเรียน'!$E$9:$E$13,"?*")-COUNTA(Z9:Z13))</f>
        <v/>
      </c>
      <c r="AA17" s="273">
        <f>IF(AA$4&lt;&gt;1,"",COUNTIF('ข้อมูลนักเรียน'!$E$9:$E$13,"?*")-COUNTA(AA9:AA13))</f>
        <v/>
      </c>
      <c r="AB17" s="273">
        <f>IF(AB$4&lt;&gt;1,"",COUNTIF('ข้อมูลนักเรียน'!$E$9:$E$13,"?*")-COUNTA(AB9:AB13))</f>
        <v/>
      </c>
      <c r="AC17" s="273">
        <f>IF(AC$4&lt;&gt;1,"",COUNTIF('ข้อมูลนักเรียน'!$E$9:$E$13,"?*")-COUNTA(AC9:AC13))</f>
        <v/>
      </c>
      <c r="AD17" s="273">
        <f>IF(AD$4&lt;&gt;1,"",COUNTIF('ข้อมูลนักเรียน'!$E$9:$E$13,"?*")-COUNTA(AD9:AD13))</f>
        <v/>
      </c>
      <c r="AE17" s="273">
        <f>IF(AE$4&lt;&gt;1,"",COUNTIF('ข้อมูลนักเรียน'!$E$9:$E$13,"?*")-COUNTA(AE9:AE13))</f>
        <v/>
      </c>
      <c r="AF17" s="273">
        <f>IF(AF$4&lt;&gt;1,"",COUNTIF('ข้อมูลนักเรียน'!$E$9:$E$13,"?*")-COUNTA(AF9:AF13))</f>
        <v/>
      </c>
      <c r="AG17" s="273">
        <f>IF(AG$4&lt;&gt;1,"",COUNTIF('ข้อมูลนักเรียน'!$E$9:$E$13,"?*")-COUNTA(AG9:AG13))</f>
        <v/>
      </c>
      <c r="AH17" s="273">
        <f>IF(AH$4&lt;&gt;1,"",COUNTIF('ข้อมูลนักเรียน'!$E$9:$E$13,"?*")-COUNTA(AH9:AH13))</f>
        <v/>
      </c>
      <c r="AI17" s="274" t="n"/>
      <c r="AJ17" s="275" t="n"/>
      <c r="AK17" s="276" t="n"/>
      <c r="AL17" s="272">
        <f>IF(AL$4&lt;&gt;1,"",COUNTIF('ข้อมูลนักเรียน'!$E$9:$E$13,"?*")-COUNTA(AL9:AL13))</f>
        <v/>
      </c>
      <c r="AM17" s="273">
        <f>IF(AM$4&lt;&gt;1,"",COUNTIF('ข้อมูลนักเรียน'!$E$9:$E$13,"?*")-COUNTA(AM9:AM13))</f>
        <v/>
      </c>
      <c r="AN17" s="273">
        <f>IF(AN$4&lt;&gt;1,"",COUNTIF('ข้อมูลนักเรียน'!$E$9:$E$13,"?*")-COUNTA(AN9:AN13))</f>
        <v/>
      </c>
      <c r="AO17" s="273">
        <f>IF(AO$4&lt;&gt;1,"",COUNTIF('ข้อมูลนักเรียน'!$E$9:$E$13,"?*")-COUNTA(AO9:AO13))</f>
        <v/>
      </c>
      <c r="AP17" s="273">
        <f>IF(AP$4&lt;&gt;1,"",COUNTIF('ข้อมูลนักเรียน'!$E$9:$E$13,"?*")-COUNTA(AP9:AP13))</f>
        <v/>
      </c>
      <c r="AQ17" s="273">
        <f>IF(AQ$4&lt;&gt;1,"",COUNTIF('ข้อมูลนักเรียน'!$E$9:$E$13,"?*")-COUNTA(AQ9:AQ13))</f>
        <v/>
      </c>
      <c r="AR17" s="273">
        <f>IF(AR$4&lt;&gt;1,"",COUNTIF('ข้อมูลนักเรียน'!$E$9:$E$13,"?*")-COUNTA(AR9:AR13))</f>
        <v/>
      </c>
      <c r="AS17" s="273">
        <f>IF(AS$4&lt;&gt;1,"",COUNTIF('ข้อมูลนักเรียน'!$E$9:$E$13,"?*")-COUNTA(AS9:AS13))</f>
        <v/>
      </c>
      <c r="AT17" s="273">
        <f>IF(AT$4&lt;&gt;1,"",COUNTIF('ข้อมูลนักเรียน'!$E$9:$E$13,"?*")-COUNTA(AT9:AT13))</f>
        <v/>
      </c>
      <c r="AU17" s="273">
        <f>IF(AU$4&lt;&gt;1,"",COUNTIF('ข้อมูลนักเรียน'!$E$9:$E$13,"?*")-COUNTA(AU9:AU13))</f>
        <v/>
      </c>
      <c r="AV17" s="273">
        <f>IF(AV$4&lt;&gt;1,"",COUNTIF('ข้อมูลนักเรียน'!$E$9:$E$13,"?*")-COUNTA(AV9:AV13))</f>
        <v/>
      </c>
      <c r="AW17" s="273">
        <f>IF(AW$4&lt;&gt;1,"",COUNTIF('ข้อมูลนักเรียน'!$E$9:$E$13,"?*")-COUNTA(AW9:AW13))</f>
        <v/>
      </c>
      <c r="AX17" s="273">
        <f>IF(AX$4&lt;&gt;1,"",COUNTIF('ข้อมูลนักเรียน'!$E$9:$E$13,"?*")-COUNTA(AX9:AX13))</f>
        <v/>
      </c>
      <c r="AY17" s="273">
        <f>IF(AY$4&lt;&gt;1,"",COUNTIF('ข้อมูลนักเรียน'!$E$9:$E$13,"?*")-COUNTA(AY9:AY13))</f>
        <v/>
      </c>
      <c r="AZ17" s="273">
        <f>IF(AZ$4&lt;&gt;1,"",COUNTIF('ข้อมูลนักเรียน'!$E$9:$E$13,"?*")-COUNTA(AZ9:AZ13))</f>
        <v/>
      </c>
      <c r="BA17" s="273">
        <f>IF(BA$4&lt;&gt;1,"",COUNTIF('ข้อมูลนักเรียน'!$E$9:$E$13,"?*")-COUNTA(BA9:BA13))</f>
        <v/>
      </c>
      <c r="BB17" s="273">
        <f>IF(BB$4&lt;&gt;1,"",COUNTIF('ข้อมูลนักเรียน'!$E$9:$E$13,"?*")-COUNTA(BB9:BB13))</f>
        <v/>
      </c>
      <c r="BC17" s="273">
        <f>IF(BC$4&lt;&gt;1,"",COUNTIF('ข้อมูลนักเรียน'!$E$9:$E$13,"?*")-COUNTA(BC9:BC13))</f>
        <v/>
      </c>
      <c r="BD17" s="273">
        <f>IF(BD$4&lt;&gt;1,"",COUNTIF('ข้อมูลนักเรียน'!$E$9:$E$13,"?*")-COUNTA(BD9:BD13))</f>
        <v/>
      </c>
      <c r="BE17" s="273">
        <f>IF(BE$4&lt;&gt;1,"",COUNTIF('ข้อมูลนักเรียน'!$E$9:$E$13,"?*")-COUNTA(BE9:BE13))</f>
        <v/>
      </c>
      <c r="BF17" s="273">
        <f>IF(BF$4&lt;&gt;1,"",COUNTIF('ข้อมูลนักเรียน'!$E$9:$E$13,"?*")-COUNTA(BF9:BF13))</f>
        <v/>
      </c>
      <c r="BG17" s="273">
        <f>IF(BG$4&lt;&gt;1,"",COUNTIF('ข้อมูลนักเรียน'!$E$9:$E$13,"?*")-COUNTA(BG9:BG13))</f>
        <v/>
      </c>
      <c r="BH17" s="273">
        <f>IF(BH$4&lt;&gt;1,"",COUNTIF('ข้อมูลนักเรียน'!$E$9:$E$13,"?*")-COUNTA(BH9:BH13))</f>
        <v/>
      </c>
      <c r="BI17" s="273">
        <f>IF(BI$4&lt;&gt;1,"",COUNTIF('ข้อมูลนักเรียน'!$E$9:$E$13,"?*")-COUNTA(BI9:BI13))</f>
        <v/>
      </c>
      <c r="BJ17" s="273">
        <f>IF(BJ$4&lt;&gt;1,"",COUNTIF('ข้อมูลนักเรียน'!$E$9:$E$13,"?*")-COUNTA(BJ9:BJ13))</f>
        <v/>
      </c>
      <c r="BK17" s="273">
        <f>IF(BK$4&lt;&gt;1,"",COUNTIF('ข้อมูลนักเรียน'!$E$9:$E$13,"?*")-COUNTA(BK9:BK13))</f>
        <v/>
      </c>
      <c r="BL17" s="273">
        <f>IF(BL$4&lt;&gt;1,"",COUNTIF('ข้อมูลนักเรียน'!$E$9:$E$13,"?*")-COUNTA(BL9:BL13))</f>
        <v/>
      </c>
      <c r="BM17" s="273">
        <f>IF(BM$4&lt;&gt;1,"",COUNTIF('ข้อมูลนักเรียน'!$E$9:$E$13,"?*")-COUNTA(BM9:BM13))</f>
        <v/>
      </c>
      <c r="BN17" s="273">
        <f>IF(BN$4&lt;&gt;1,"",COUNTIF('ข้อมูลนักเรียน'!$E$9:$E$13,"?*")-COUNTA(BN9:BN13))</f>
        <v/>
      </c>
      <c r="BO17" s="273">
        <f>IF(BO$4&lt;&gt;1,"",COUNTIF('ข้อมูลนักเรียน'!$E$9:$E$13,"?*")-COUNTA(BO9:BO13))</f>
        <v/>
      </c>
      <c r="BP17" s="273">
        <f>IF(BP$4&lt;&gt;1,"",COUNTIF('ข้อมูลนักเรียน'!$E$9:$E$13,"?*")-COUNTA(BP9:BP13))</f>
        <v/>
      </c>
      <c r="BQ17" s="274" t="n"/>
      <c r="BR17" s="275" t="n"/>
      <c r="BS17" s="276" t="n"/>
      <c r="BT17" s="272">
        <f>IF(BT$4&lt;&gt;1,"",COUNTIF('ข้อมูลนักเรียน'!$E$9:$E$13,"?*")-COUNTA(BT9:BT13))</f>
        <v/>
      </c>
      <c r="BU17" s="273">
        <f>IF(BU$4&lt;&gt;1,"",COUNTIF('ข้อมูลนักเรียน'!$E$9:$E$13,"?*")-COUNTA(BU9:BU13))</f>
        <v/>
      </c>
      <c r="BV17" s="273">
        <f>IF(BV$4&lt;&gt;1,"",COUNTIF('ข้อมูลนักเรียน'!$E$9:$E$13,"?*")-COUNTA(BV9:BV13))</f>
        <v/>
      </c>
      <c r="BW17" s="273">
        <f>IF(BW$4&lt;&gt;1,"",COUNTIF('ข้อมูลนักเรียน'!$E$9:$E$13,"?*")-COUNTA(BW9:BW13))</f>
        <v/>
      </c>
      <c r="BX17" s="273">
        <f>IF(BX$4&lt;&gt;1,"",COUNTIF('ข้อมูลนักเรียน'!$E$9:$E$13,"?*")-COUNTA(BX9:BX13))</f>
        <v/>
      </c>
      <c r="BY17" s="273">
        <f>IF(BY$4&lt;&gt;1,"",COUNTIF('ข้อมูลนักเรียน'!$E$9:$E$13,"?*")-COUNTA(BY9:BY13))</f>
        <v/>
      </c>
      <c r="BZ17" s="273">
        <f>IF(BZ$4&lt;&gt;1,"",COUNTIF('ข้อมูลนักเรียน'!$E$9:$E$13,"?*")-COUNTA(BZ9:BZ13))</f>
        <v/>
      </c>
      <c r="CA17" s="273">
        <f>IF(CA$4&lt;&gt;1,"",COUNTIF('ข้อมูลนักเรียน'!$E$9:$E$13,"?*")-COUNTA(CA9:CA13))</f>
        <v/>
      </c>
      <c r="CB17" s="273">
        <f>IF(CB$4&lt;&gt;1,"",COUNTIF('ข้อมูลนักเรียน'!$E$9:$E$13,"?*")-COUNTA(CB9:CB13))</f>
        <v/>
      </c>
      <c r="CC17" s="273">
        <f>IF(CC$4&lt;&gt;1,"",COUNTIF('ข้อมูลนักเรียน'!$E$9:$E$13,"?*")-COUNTA(CC9:CC13))</f>
        <v/>
      </c>
      <c r="CD17" s="273">
        <f>IF(CD$4&lt;&gt;1,"",COUNTIF('ข้อมูลนักเรียน'!$E$9:$E$13,"?*")-COUNTA(CD9:CD13))</f>
        <v/>
      </c>
      <c r="CE17" s="273">
        <f>IF(CE$4&lt;&gt;1,"",COUNTIF('ข้อมูลนักเรียน'!$E$9:$E$13,"?*")-COUNTA(CE9:CE13))</f>
        <v/>
      </c>
      <c r="CF17" s="273">
        <f>IF(CF$4&lt;&gt;1,"",COUNTIF('ข้อมูลนักเรียน'!$E$9:$E$13,"?*")-COUNTA(CF9:CF13))</f>
        <v/>
      </c>
      <c r="CG17" s="273">
        <f>IF(CG$4&lt;&gt;1,"",COUNTIF('ข้อมูลนักเรียน'!$E$9:$E$13,"?*")-COUNTA(CG9:CG13))</f>
        <v/>
      </c>
      <c r="CH17" s="273">
        <f>IF(CH$4&lt;&gt;1,"",COUNTIF('ข้อมูลนักเรียน'!$E$9:$E$13,"?*")-COUNTA(CH9:CH13))</f>
        <v/>
      </c>
      <c r="CI17" s="273">
        <f>IF(CI$4&lt;&gt;1,"",COUNTIF('ข้อมูลนักเรียน'!$E$9:$E$13,"?*")-COUNTA(CI9:CI13))</f>
        <v/>
      </c>
      <c r="CJ17" s="273">
        <f>IF(CJ$4&lt;&gt;1,"",COUNTIF('ข้อมูลนักเรียน'!$E$9:$E$13,"?*")-COUNTA(CJ9:CJ13))</f>
        <v/>
      </c>
      <c r="CK17" s="273">
        <f>IF(CK$4&lt;&gt;1,"",COUNTIF('ข้อมูลนักเรียน'!$E$9:$E$13,"?*")-COUNTA(CK9:CK13))</f>
        <v/>
      </c>
      <c r="CL17" s="273">
        <f>IF(CL$4&lt;&gt;1,"",COUNTIF('ข้อมูลนักเรียน'!$E$9:$E$13,"?*")-COUNTA(CL9:CL13))</f>
        <v/>
      </c>
      <c r="CM17" s="273">
        <f>IF(CM$4&lt;&gt;1,"",COUNTIF('ข้อมูลนักเรียน'!$E$9:$E$13,"?*")-COUNTA(CM9:CM13))</f>
        <v/>
      </c>
      <c r="CN17" s="273">
        <f>IF(CN$4&lt;&gt;1,"",COUNTIF('ข้อมูลนักเรียน'!$E$9:$E$13,"?*")-COUNTA(CN9:CN13))</f>
        <v/>
      </c>
      <c r="CO17" s="273">
        <f>IF(CO$4&lt;&gt;1,"",COUNTIF('ข้อมูลนักเรียน'!$E$9:$E$13,"?*")-COUNTA(CO9:CO13))</f>
        <v/>
      </c>
      <c r="CP17" s="273">
        <f>IF(CP$4&lt;&gt;1,"",COUNTIF('ข้อมูลนักเรียน'!$E$9:$E$13,"?*")-COUNTA(CP9:CP13))</f>
        <v/>
      </c>
      <c r="CQ17" s="273">
        <f>IF(CQ$4&lt;&gt;1,"",COUNTIF('ข้อมูลนักเรียน'!$E$9:$E$13,"?*")-COUNTA(CQ9:CQ13))</f>
        <v/>
      </c>
      <c r="CR17" s="273">
        <f>IF(CR$4&lt;&gt;1,"",COUNTIF('ข้อมูลนักเรียน'!$E$9:$E$13,"?*")-COUNTA(CR9:CR13))</f>
        <v/>
      </c>
      <c r="CS17" s="273">
        <f>IF(CS$4&lt;&gt;1,"",COUNTIF('ข้อมูลนักเรียน'!$E$9:$E$13,"?*")-COUNTA(CS9:CS13))</f>
        <v/>
      </c>
      <c r="CT17" s="273">
        <f>IF(CT$4&lt;&gt;1,"",COUNTIF('ข้อมูลนักเรียน'!$E$9:$E$13,"?*")-COUNTA(CT9:CT13))</f>
        <v/>
      </c>
      <c r="CU17" s="273">
        <f>IF(CU$4&lt;&gt;1,"",COUNTIF('ข้อมูลนักเรียน'!$E$9:$E$13,"?*")-COUNTA(CU9:CU13))</f>
        <v/>
      </c>
      <c r="CV17" s="273">
        <f>IF(CV$4&lt;&gt;1,"",COUNTIF('ข้อมูลนักเรียน'!$E$9:$E$13,"?*")-COUNTA(CV9:CV13))</f>
        <v/>
      </c>
      <c r="CW17" s="273">
        <f>IF(CW$4&lt;&gt;1,"",COUNTIF('ข้อมูลนักเรียน'!$E$9:$E$13,"?*")-COUNTA(CW9:CW13))</f>
        <v/>
      </c>
      <c r="CX17" s="273">
        <f>IF(CX$4&lt;&gt;1,"",COUNTIF('ข้อมูลนักเรียน'!$E$9:$E$13,"?*")-COUNTA(CX9:CX13))</f>
        <v/>
      </c>
      <c r="CY17" s="274" t="n"/>
      <c r="CZ17" s="275" t="n"/>
      <c r="DA17" s="276" t="n"/>
      <c r="DB17" s="272">
        <f>IF(DB$4&lt;&gt;1,"",COUNTIF('ข้อมูลนักเรียน'!$E$9:$E$13,"?*")-COUNTA(DB9:DB13))</f>
        <v/>
      </c>
      <c r="DC17" s="273">
        <f>IF(DC$4&lt;&gt;1,"",COUNTIF('ข้อมูลนักเรียน'!$E$9:$E$13,"?*")-COUNTA(DC9:DC13))</f>
        <v/>
      </c>
      <c r="DD17" s="273">
        <f>IF(DD$4&lt;&gt;1,"",COUNTIF('ข้อมูลนักเรียน'!$E$9:$E$13,"?*")-COUNTA(DD9:DD13))</f>
        <v/>
      </c>
      <c r="DE17" s="273">
        <f>IF(DE$4&lt;&gt;1,"",COUNTIF('ข้อมูลนักเรียน'!$E$9:$E$13,"?*")-COUNTA(DE9:DE13))</f>
        <v/>
      </c>
      <c r="DF17" s="273">
        <f>IF(DF$4&lt;&gt;1,"",COUNTIF('ข้อมูลนักเรียน'!$E$9:$E$13,"?*")-COUNTA(DF9:DF13))</f>
        <v/>
      </c>
      <c r="DG17" s="273">
        <f>IF(DG$4&lt;&gt;1,"",COUNTIF('ข้อมูลนักเรียน'!$E$9:$E$13,"?*")-COUNTA(DG9:DG13))</f>
        <v/>
      </c>
      <c r="DH17" s="273">
        <f>IF(DH$4&lt;&gt;1,"",COUNTIF('ข้อมูลนักเรียน'!$E$9:$E$13,"?*")-COUNTA(DH9:DH13))</f>
        <v/>
      </c>
      <c r="DI17" s="273">
        <f>IF(DI$4&lt;&gt;1,"",COUNTIF('ข้อมูลนักเรียน'!$E$9:$E$13,"?*")-COUNTA(DI9:DI13))</f>
        <v/>
      </c>
      <c r="DJ17" s="273">
        <f>IF(DJ$4&lt;&gt;1,"",COUNTIF('ข้อมูลนักเรียน'!$E$9:$E$13,"?*")-COUNTA(DJ9:DJ13))</f>
        <v/>
      </c>
      <c r="DK17" s="273">
        <f>IF(DK$4&lt;&gt;1,"",COUNTIF('ข้อมูลนักเรียน'!$E$9:$E$13,"?*")-COUNTA(DK9:DK13))</f>
        <v/>
      </c>
      <c r="DL17" s="273">
        <f>IF(DL$4&lt;&gt;1,"",COUNTIF('ข้อมูลนักเรียน'!$E$9:$E$13,"?*")-COUNTA(DL9:DL13))</f>
        <v/>
      </c>
      <c r="DM17" s="273">
        <f>IF(DM$4&lt;&gt;1,"",COUNTIF('ข้อมูลนักเรียน'!$E$9:$E$13,"?*")-COUNTA(DM9:DM13))</f>
        <v/>
      </c>
      <c r="DN17" s="273">
        <f>IF(DN$4&lt;&gt;1,"",COUNTIF('ข้อมูลนักเรียน'!$E$9:$E$13,"?*")-COUNTA(DN9:DN13))</f>
        <v/>
      </c>
      <c r="DO17" s="273">
        <f>IF(DO$4&lt;&gt;1,"",COUNTIF('ข้อมูลนักเรียน'!$E$9:$E$13,"?*")-COUNTA(DO9:DO13))</f>
        <v/>
      </c>
      <c r="DP17" s="273">
        <f>IF(DP$4&lt;&gt;1,"",COUNTIF('ข้อมูลนักเรียน'!$E$9:$E$13,"?*")-COUNTA(DP9:DP13))</f>
        <v/>
      </c>
      <c r="DQ17" s="273">
        <f>IF(DQ$4&lt;&gt;1,"",COUNTIF('ข้อมูลนักเรียน'!$E$9:$E$13,"?*")-COUNTA(DQ9:DQ13))</f>
        <v/>
      </c>
      <c r="DR17" s="273">
        <f>IF(DR$4&lt;&gt;1,"",COUNTIF('ข้อมูลนักเรียน'!$E$9:$E$13,"?*")-COUNTA(DR9:DR13))</f>
        <v/>
      </c>
      <c r="DS17" s="273">
        <f>IF(DS$4&lt;&gt;1,"",COUNTIF('ข้อมูลนักเรียน'!$E$9:$E$13,"?*")-COUNTA(DS9:DS13))</f>
        <v/>
      </c>
      <c r="DT17" s="273">
        <f>IF(DT$4&lt;&gt;1,"",COUNTIF('ข้อมูลนักเรียน'!$E$9:$E$13,"?*")-COUNTA(DT9:DT13))</f>
        <v/>
      </c>
      <c r="DU17" s="273">
        <f>IF(DU$4&lt;&gt;1,"",COUNTIF('ข้อมูลนักเรียน'!$E$9:$E$13,"?*")-COUNTA(DU9:DU13))</f>
        <v/>
      </c>
      <c r="DV17" s="273">
        <f>IF(DV$4&lt;&gt;1,"",COUNTIF('ข้อมูลนักเรียน'!$E$9:$E$13,"?*")-COUNTA(DV9:DV13))</f>
        <v/>
      </c>
      <c r="DW17" s="273">
        <f>IF(DW$4&lt;&gt;1,"",COUNTIF('ข้อมูลนักเรียน'!$E$9:$E$13,"?*")-COUNTA(DW9:DW13))</f>
        <v/>
      </c>
      <c r="DX17" s="273">
        <f>IF(DX$4&lt;&gt;1,"",COUNTIF('ข้อมูลนักเรียน'!$E$9:$E$13,"?*")-COUNTA(DX9:DX13))</f>
        <v/>
      </c>
      <c r="DY17" s="273">
        <f>IF(DY$4&lt;&gt;1,"",COUNTIF('ข้อมูลนักเรียน'!$E$9:$E$13,"?*")-COUNTA(DY9:DY13))</f>
        <v/>
      </c>
      <c r="DZ17" s="273">
        <f>IF(DZ$4&lt;&gt;1,"",COUNTIF('ข้อมูลนักเรียน'!$E$9:$E$13,"?*")-COUNTA(DZ9:DZ13))</f>
        <v/>
      </c>
      <c r="EA17" s="273">
        <f>IF(EA$4&lt;&gt;1,"",COUNTIF('ข้อมูลนักเรียน'!$E$9:$E$13,"?*")-COUNTA(EA9:EA13))</f>
        <v/>
      </c>
      <c r="EB17" s="273">
        <f>IF(EB$4&lt;&gt;1,"",COUNTIF('ข้อมูลนักเรียน'!$E$9:$E$13,"?*")-COUNTA(EB9:EB13))</f>
        <v/>
      </c>
      <c r="EC17" s="273">
        <f>IF(EC$4&lt;&gt;1,"",COUNTIF('ข้อมูลนักเรียน'!$E$9:$E$13,"?*")-COUNTA(EC9:EC13))</f>
        <v/>
      </c>
      <c r="ED17" s="273">
        <f>IF(ED$4&lt;&gt;1,"",COUNTIF('ข้อมูลนักเรียน'!$E$9:$E$13,"?*")-COUNTA(ED9:ED13))</f>
        <v/>
      </c>
      <c r="EE17" s="273">
        <f>IF(EE$4&lt;&gt;1,"",COUNTIF('ข้อมูลนักเรียน'!$E$9:$E$13,"?*")-COUNTA(EE9:EE13))</f>
        <v/>
      </c>
      <c r="EF17" s="273">
        <f>IF(EF$4&lt;&gt;1,"",COUNTIF('ข้อมูลนักเรียน'!$E$9:$E$13,"?*")-COUNTA(EF9:EF13))</f>
        <v/>
      </c>
      <c r="EG17" s="274" t="n"/>
      <c r="EH17" s="275" t="n"/>
      <c r="EI17" s="276" t="n"/>
      <c r="EJ17" s="272">
        <f>IF(EJ$4&lt;&gt;1,"",COUNTIF('ข้อมูลนักเรียน'!$E$9:$E$13,"?*")-COUNTA(EJ9:EJ13))</f>
        <v/>
      </c>
      <c r="EK17" s="273">
        <f>IF(EK$4&lt;&gt;1,"",COUNTIF('ข้อมูลนักเรียน'!$E$9:$E$13,"?*")-COUNTA(EK9:EK13))</f>
        <v/>
      </c>
      <c r="EL17" s="273">
        <f>IF(EL$4&lt;&gt;1,"",COUNTIF('ข้อมูลนักเรียน'!$E$9:$E$13,"?*")-COUNTA(EL9:EL13))</f>
        <v/>
      </c>
      <c r="EM17" s="273">
        <f>IF(EM$4&lt;&gt;1,"",COUNTIF('ข้อมูลนักเรียน'!$E$9:$E$13,"?*")-COUNTA(EM9:EM13))</f>
        <v/>
      </c>
      <c r="EN17" s="273">
        <f>IF(EN$4&lt;&gt;1,"",COUNTIF('ข้อมูลนักเรียน'!$E$9:$E$13,"?*")-COUNTA(EN9:EN13))</f>
        <v/>
      </c>
      <c r="EO17" s="273">
        <f>IF(EO$4&lt;&gt;1,"",COUNTIF('ข้อมูลนักเรียน'!$E$9:$E$13,"?*")-COUNTA(EO9:EO13))</f>
        <v/>
      </c>
      <c r="EP17" s="273">
        <f>IF(EP$4&lt;&gt;1,"",COUNTIF('ข้อมูลนักเรียน'!$E$9:$E$13,"?*")-COUNTA(EP9:EP13))</f>
        <v/>
      </c>
      <c r="EQ17" s="273">
        <f>IF(EQ$4&lt;&gt;1,"",COUNTIF('ข้อมูลนักเรียน'!$E$9:$E$13,"?*")-COUNTA(EQ9:EQ13))</f>
        <v/>
      </c>
      <c r="ER17" s="273">
        <f>IF(ER$4&lt;&gt;1,"",COUNTIF('ข้อมูลนักเรียน'!$E$9:$E$13,"?*")-COUNTA(ER9:ER13))</f>
        <v/>
      </c>
      <c r="ES17" s="273">
        <f>IF(ES$4&lt;&gt;1,"",COUNTIF('ข้อมูลนักเรียน'!$E$9:$E$13,"?*")-COUNTA(ES9:ES13))</f>
        <v/>
      </c>
      <c r="ET17" s="273">
        <f>IF(ET$4&lt;&gt;1,"",COUNTIF('ข้อมูลนักเรียน'!$E$9:$E$13,"?*")-COUNTA(ET9:ET13))</f>
        <v/>
      </c>
      <c r="EU17" s="273">
        <f>IF(EU$4&lt;&gt;1,"",COUNTIF('ข้อมูลนักเรียน'!$E$9:$E$13,"?*")-COUNTA(EU9:EU13))</f>
        <v/>
      </c>
      <c r="EV17" s="273">
        <f>IF(EV$4&lt;&gt;1,"",COUNTIF('ข้อมูลนักเรียน'!$E$9:$E$13,"?*")-COUNTA(EV9:EV13))</f>
        <v/>
      </c>
      <c r="EW17" s="273">
        <f>IF(EW$4&lt;&gt;1,"",COUNTIF('ข้อมูลนักเรียน'!$E$9:$E$13,"?*")-COUNTA(EW9:EW13))</f>
        <v/>
      </c>
      <c r="EX17" s="273">
        <f>IF(EX$4&lt;&gt;1,"",COUNTIF('ข้อมูลนักเรียน'!$E$9:$E$13,"?*")-COUNTA(EX9:EX13))</f>
        <v/>
      </c>
      <c r="EY17" s="273">
        <f>IF(EY$4&lt;&gt;1,"",COUNTIF('ข้อมูลนักเรียน'!$E$9:$E$13,"?*")-COUNTA(EY9:EY13))</f>
        <v/>
      </c>
      <c r="EZ17" s="273">
        <f>IF(EZ$4&lt;&gt;1,"",COUNTIF('ข้อมูลนักเรียน'!$E$9:$E$13,"?*")-COUNTA(EZ9:EZ13))</f>
        <v/>
      </c>
      <c r="FA17" s="273">
        <f>IF(FA$4&lt;&gt;1,"",COUNTIF('ข้อมูลนักเรียน'!$E$9:$E$13,"?*")-COUNTA(FA9:FA13))</f>
        <v/>
      </c>
      <c r="FB17" s="273">
        <f>IF(FB$4&lt;&gt;1,"",COUNTIF('ข้อมูลนักเรียน'!$E$9:$E$13,"?*")-COUNTA(FB9:FB13))</f>
        <v/>
      </c>
      <c r="FC17" s="273">
        <f>IF(FC$4&lt;&gt;1,"",COUNTIF('ข้อมูลนักเรียน'!$E$9:$E$13,"?*")-COUNTA(FC9:FC13))</f>
        <v/>
      </c>
      <c r="FD17" s="273">
        <f>IF(FD$4&lt;&gt;1,"",COUNTIF('ข้อมูลนักเรียน'!$E$9:$E$13,"?*")-COUNTA(FD9:FD13))</f>
        <v/>
      </c>
      <c r="FE17" s="273">
        <f>IF(FE$4&lt;&gt;1,"",COUNTIF('ข้อมูลนักเรียน'!$E$9:$E$13,"?*")-COUNTA(FE9:FE13))</f>
        <v/>
      </c>
      <c r="FF17" s="273">
        <f>IF(FF$4&lt;&gt;1,"",COUNTIF('ข้อมูลนักเรียน'!$E$9:$E$13,"?*")-COUNTA(FF9:FF13))</f>
        <v/>
      </c>
      <c r="FG17" s="273">
        <f>IF(FG$4&lt;&gt;1,"",COUNTIF('ข้อมูลนักเรียน'!$E$9:$E$13,"?*")-COUNTA(FG9:FG13))</f>
        <v/>
      </c>
      <c r="FH17" s="273">
        <f>IF(FH$4&lt;&gt;1,"",COUNTIF('ข้อมูลนักเรียน'!$E$9:$E$13,"?*")-COUNTA(FH9:FH13))</f>
        <v/>
      </c>
      <c r="FI17" s="273">
        <f>IF(FI$4&lt;&gt;1,"",COUNTIF('ข้อมูลนักเรียน'!$E$9:$E$13,"?*")-COUNTA(FI9:FI13))</f>
        <v/>
      </c>
      <c r="FJ17" s="273">
        <f>IF(FJ$4&lt;&gt;1,"",COUNTIF('ข้อมูลนักเรียน'!$E$9:$E$13,"?*")-COUNTA(FJ9:FJ13))</f>
        <v/>
      </c>
      <c r="FK17" s="273">
        <f>IF(FK$4&lt;&gt;1,"",COUNTIF('ข้อมูลนักเรียน'!$E$9:$E$13,"?*")-COUNTA(FK9:FK13))</f>
        <v/>
      </c>
      <c r="FL17" s="273">
        <f>IF(FL$4&lt;&gt;1,"",COUNTIF('ข้อมูลนักเรียน'!$E$9:$E$13,"?*")-COUNTA(FL9:FL13))</f>
        <v/>
      </c>
      <c r="FM17" s="273">
        <f>IF(FM$4&lt;&gt;1,"",COUNTIF('ข้อมูลนักเรียน'!$E$9:$E$13,"?*")-COUNTA(FM9:FM13))</f>
        <v/>
      </c>
      <c r="FN17" s="273">
        <f>IF(FN$4&lt;&gt;1,"",COUNTIF('ข้อมูลนักเรียน'!$E$9:$E$13,"?*")-COUNTA(FN9:FN13))</f>
        <v/>
      </c>
      <c r="FO17" s="274" t="n"/>
      <c r="FP17" s="275" t="n"/>
      <c r="FQ17" s="276" t="n"/>
      <c r="FR17" s="272">
        <f>IF(FR$4&lt;&gt;1,"",COUNTIF('ข้อมูลนักเรียน'!$E$9:$E$13,"?*")-COUNTA(FR9:FR13))</f>
        <v/>
      </c>
      <c r="FS17" s="273">
        <f>IF(FS$4&lt;&gt;1,"",COUNTIF('ข้อมูลนักเรียน'!$E$9:$E$13,"?*")-COUNTA(FS9:FS13))</f>
        <v/>
      </c>
      <c r="FT17" s="273">
        <f>IF(FT$4&lt;&gt;1,"",COUNTIF('ข้อมูลนักเรียน'!$E$9:$E$13,"?*")-COUNTA(FT9:FT13))</f>
        <v/>
      </c>
      <c r="FU17" s="273">
        <f>IF(FU$4&lt;&gt;1,"",COUNTIF('ข้อมูลนักเรียน'!$E$9:$E$13,"?*")-COUNTA(FU9:FU13))</f>
        <v/>
      </c>
      <c r="FV17" s="273">
        <f>IF(FV$4&lt;&gt;1,"",COUNTIF('ข้อมูลนักเรียน'!$E$9:$E$13,"?*")-COUNTA(FV9:FV13))</f>
        <v/>
      </c>
      <c r="FW17" s="273">
        <f>IF(FW$4&lt;&gt;1,"",COUNTIF('ข้อมูลนักเรียน'!$E$9:$E$13,"?*")-COUNTA(FW9:FW13))</f>
        <v/>
      </c>
      <c r="FX17" s="273">
        <f>IF(FX$4&lt;&gt;1,"",COUNTIF('ข้อมูลนักเรียน'!$E$9:$E$13,"?*")-COUNTA(FX9:FX13))</f>
        <v/>
      </c>
      <c r="FY17" s="273">
        <f>IF(FY$4&lt;&gt;1,"",COUNTIF('ข้อมูลนักเรียน'!$E$9:$E$13,"?*")-COUNTA(FY9:FY13))</f>
        <v/>
      </c>
      <c r="FZ17" s="273">
        <f>IF(FZ$4&lt;&gt;1,"",COUNTIF('ข้อมูลนักเรียน'!$E$9:$E$13,"?*")-COUNTA(FZ9:FZ13))</f>
        <v/>
      </c>
      <c r="GA17" s="273">
        <f>IF(GA$4&lt;&gt;1,"",COUNTIF('ข้อมูลนักเรียน'!$E$9:$E$13,"?*")-COUNTA(GA9:GA13))</f>
        <v/>
      </c>
      <c r="GB17" s="273">
        <f>IF(GB$4&lt;&gt;1,"",COUNTIF('ข้อมูลนักเรียน'!$E$9:$E$13,"?*")-COUNTA(GB9:GB13))</f>
        <v/>
      </c>
      <c r="GC17" s="273">
        <f>IF(GC$4&lt;&gt;1,"",COUNTIF('ข้อมูลนักเรียน'!$E$9:$E$13,"?*")-COUNTA(GC9:GC13))</f>
        <v/>
      </c>
      <c r="GD17" s="273">
        <f>IF(GD$4&lt;&gt;1,"",COUNTIF('ข้อมูลนักเรียน'!$E$9:$E$13,"?*")-COUNTA(GD9:GD13))</f>
        <v/>
      </c>
      <c r="GE17" s="273">
        <f>IF(GE$4&lt;&gt;1,"",COUNTIF('ข้อมูลนักเรียน'!$E$9:$E$13,"?*")-COUNTA(GE9:GE13))</f>
        <v/>
      </c>
      <c r="GF17" s="273">
        <f>IF(GF$4&lt;&gt;1,"",COUNTIF('ข้อมูลนักเรียน'!$E$9:$E$13,"?*")-COUNTA(GF9:GF13))</f>
        <v/>
      </c>
      <c r="GG17" s="273">
        <f>IF(GG$4&lt;&gt;1,"",COUNTIF('ข้อมูลนักเรียน'!$E$9:$E$13,"?*")-COUNTA(GG9:GG13))</f>
        <v/>
      </c>
      <c r="GH17" s="273">
        <f>IF(GH$4&lt;&gt;1,"",COUNTIF('ข้อมูลนักเรียน'!$E$9:$E$13,"?*")-COUNTA(GH9:GH13))</f>
        <v/>
      </c>
      <c r="GI17" s="273">
        <f>IF(GI$4&lt;&gt;1,"",COUNTIF('ข้อมูลนักเรียน'!$E$9:$E$13,"?*")-COUNTA(GI9:GI13))</f>
        <v/>
      </c>
      <c r="GJ17" s="273">
        <f>IF(GJ$4&lt;&gt;1,"",COUNTIF('ข้อมูลนักเรียน'!$E$9:$E$13,"?*")-COUNTA(GJ9:GJ13))</f>
        <v/>
      </c>
      <c r="GK17" s="273">
        <f>IF(GK$4&lt;&gt;1,"",COUNTIF('ข้อมูลนักเรียน'!$E$9:$E$13,"?*")-COUNTA(GK9:GK13))</f>
        <v/>
      </c>
      <c r="GL17" s="273">
        <f>IF(GL$4&lt;&gt;1,"",COUNTIF('ข้อมูลนักเรียน'!$E$9:$E$13,"?*")-COUNTA(GL9:GL13))</f>
        <v/>
      </c>
      <c r="GM17" s="273">
        <f>IF(GM$4&lt;&gt;1,"",COUNTIF('ข้อมูลนักเรียน'!$E$9:$E$13,"?*")-COUNTA(GM9:GM13))</f>
        <v/>
      </c>
      <c r="GN17" s="273">
        <f>IF(GN$4&lt;&gt;1,"",COUNTIF('ข้อมูลนักเรียน'!$E$9:$E$13,"?*")-COUNTA(GN9:GN13))</f>
        <v/>
      </c>
      <c r="GO17" s="273">
        <f>IF(GO$4&lt;&gt;1,"",COUNTIF('ข้อมูลนักเรียน'!$E$9:$E$13,"?*")-COUNTA(GO9:GO13))</f>
        <v/>
      </c>
      <c r="GP17" s="273">
        <f>IF(GP$4&lt;&gt;1,"",COUNTIF('ข้อมูลนักเรียน'!$E$9:$E$13,"?*")-COUNTA(GP9:GP13))</f>
        <v/>
      </c>
      <c r="GQ17" s="273">
        <f>IF(GQ$4&lt;&gt;1,"",COUNTIF('ข้อมูลนักเรียน'!$E$9:$E$13,"?*")-COUNTA(GQ9:GQ13))</f>
        <v/>
      </c>
      <c r="GR17" s="273">
        <f>IF(GR$4&lt;&gt;1,"",COUNTIF('ข้อมูลนักเรียน'!$E$9:$E$13,"?*")-COUNTA(GR9:GR13))</f>
        <v/>
      </c>
      <c r="GS17" s="273">
        <f>IF(GS$4&lt;&gt;1,"",COUNTIF('ข้อมูลนักเรียน'!$E$9:$E$13,"?*")-COUNTA(GS9:GS13))</f>
        <v/>
      </c>
      <c r="GT17" s="273">
        <f>IF(GT$4&lt;&gt;1,"",COUNTIF('ข้อมูลนักเรียน'!$E$9:$E$13,"?*")-COUNTA(GT9:GT13))</f>
        <v/>
      </c>
      <c r="GU17" s="273">
        <f>IF(GU$4&lt;&gt;1,"",COUNTIF('ข้อมูลนักเรียน'!$E$9:$E$13,"?*")-COUNTA(GU9:GU13))</f>
        <v/>
      </c>
      <c r="GV17" s="273">
        <f>IF(GV$4&lt;&gt;1,"",COUNTIF('ข้อมูลนักเรียน'!$E$9:$E$13,"?*")-COUNTA(GV9:GV13))</f>
        <v/>
      </c>
      <c r="GW17" s="274" t="n"/>
      <c r="GX17" s="275" t="n"/>
      <c r="GY17" s="27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</conditionalFormatting>
  <dataValidations count="6">
    <dataValidation sqref="D9:AH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AL9:BP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BT9:CX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DB9:EF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EJ9:FN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FR9:GV13" showDropDown="0" showInputMessage="0" showErrorMessage="0" allowBlank="1" errorTitle="ตรวจสอบข้อมูล" error="ใช้รหัส: ม  ส  ล  ป  ข" type="list">
      <formula1>"ม,ส,ล,ป,ข"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FF9797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247" t="inlineStr">
        <is>
          <t>🏠</t>
        </is>
      </c>
      <c r="B1" s="248" t="n"/>
      <c r="C1" s="248" t="n"/>
      <c r="D1" s="248" t="n"/>
      <c r="E1" s="248" t="n"/>
      <c r="F1" s="248" t="n"/>
      <c r="G1" s="248" t="n"/>
      <c r="H1" s="248" t="n"/>
      <c r="I1" s="248" t="n"/>
      <c r="J1" s="248" t="n"/>
      <c r="K1" s="248" t="n"/>
      <c r="L1" s="248" t="n"/>
      <c r="M1" s="248" t="n"/>
      <c r="N1" s="248" t="n"/>
      <c r="O1" s="248" t="n"/>
      <c r="P1" s="248" t="n"/>
      <c r="Q1" s="248" t="n"/>
      <c r="R1" s="248" t="n"/>
      <c r="S1" s="248" t="n"/>
      <c r="T1" s="248" t="n"/>
      <c r="U1" s="248" t="n"/>
      <c r="V1" s="248" t="n"/>
      <c r="W1" s="248" t="n"/>
      <c r="X1" s="248" t="n"/>
      <c r="Y1" s="248" t="n"/>
      <c r="Z1" s="248" t="n"/>
      <c r="AA1" s="248" t="n"/>
      <c r="AB1" s="248" t="n"/>
      <c r="AC1" s="248" t="n"/>
      <c r="AD1" s="248" t="n"/>
      <c r="AE1" s="248" t="n"/>
      <c r="AF1" s="248" t="n"/>
      <c r="AG1" s="248" t="n"/>
      <c r="AH1" s="248" t="n"/>
      <c r="AI1" s="248" t="n"/>
      <c r="AJ1" s="248" t="n"/>
      <c r="AK1" s="248" t="n"/>
      <c r="AL1" s="248" t="n"/>
      <c r="AM1" s="248" t="n"/>
      <c r="AN1" s="248" t="n"/>
      <c r="AO1" s="248" t="n"/>
      <c r="AP1" s="248" t="n"/>
      <c r="AQ1" s="248" t="n"/>
      <c r="AR1" s="248" t="n"/>
      <c r="AS1" s="248" t="n"/>
      <c r="AT1" s="248" t="n"/>
      <c r="AU1" s="248" t="n"/>
      <c r="AV1" s="248" t="n"/>
      <c r="AW1" s="248" t="n"/>
      <c r="AX1" s="248" t="n"/>
      <c r="AY1" s="248" t="n"/>
      <c r="AZ1" s="248" t="n"/>
      <c r="BA1" s="248" t="n"/>
      <c r="BB1" s="248" t="n"/>
      <c r="BC1" s="248" t="n"/>
      <c r="BD1" s="248" t="n"/>
      <c r="BE1" s="248" t="n"/>
      <c r="BF1" s="248" t="n"/>
      <c r="BG1" s="248" t="n"/>
      <c r="BH1" s="248" t="n"/>
      <c r="BI1" s="248" t="n"/>
      <c r="BJ1" s="248" t="n"/>
      <c r="BK1" s="248" t="n"/>
      <c r="BL1" s="248" t="n"/>
      <c r="BM1" s="248" t="n"/>
      <c r="BN1" s="248" t="n"/>
      <c r="BO1" s="248" t="n"/>
      <c r="BP1" s="248" t="n"/>
      <c r="BQ1" s="248" t="n"/>
      <c r="BR1" s="248" t="n"/>
      <c r="BS1" s="248" t="n"/>
      <c r="BT1" s="248" t="n"/>
      <c r="BU1" s="248" t="n"/>
      <c r="BV1" s="248" t="n"/>
      <c r="BW1" s="248" t="n"/>
      <c r="BX1" s="248" t="n"/>
      <c r="BY1" s="248" t="n"/>
      <c r="BZ1" s="248" t="n"/>
      <c r="CA1" s="248" t="n"/>
      <c r="CB1" s="248" t="n"/>
      <c r="CC1" s="248" t="n"/>
      <c r="CD1" s="248" t="n"/>
      <c r="CE1" s="248" t="n"/>
      <c r="CF1" s="248" t="n"/>
      <c r="CG1" s="248" t="n"/>
      <c r="CH1" s="248" t="n"/>
      <c r="CI1" s="248" t="n"/>
      <c r="CJ1" s="248" t="n"/>
      <c r="CK1" s="248" t="n"/>
      <c r="CL1" s="248" t="n"/>
      <c r="CM1" s="248" t="n"/>
      <c r="CN1" s="248" t="n"/>
      <c r="CO1" s="248" t="n"/>
      <c r="CP1" s="248" t="n"/>
      <c r="CQ1" s="248" t="n"/>
      <c r="CR1" s="248" t="n"/>
      <c r="CS1" s="248" t="n"/>
      <c r="CT1" s="248" t="n"/>
      <c r="CU1" s="248" t="n"/>
      <c r="CV1" s="248" t="n"/>
      <c r="CW1" s="248" t="n"/>
      <c r="CX1" s="248" t="n"/>
      <c r="CY1" s="248" t="n"/>
      <c r="CZ1" s="248" t="n"/>
      <c r="DA1" s="248" t="n"/>
      <c r="DB1" s="248" t="n"/>
      <c r="DC1" s="248" t="n"/>
      <c r="DD1" s="248" t="n"/>
      <c r="DE1" s="248" t="n"/>
      <c r="DF1" s="248" t="n"/>
      <c r="DG1" s="248" t="n"/>
      <c r="DH1" s="248" t="n"/>
      <c r="DI1" s="248" t="n"/>
      <c r="DJ1" s="248" t="n"/>
      <c r="DK1" s="248" t="n"/>
      <c r="DL1" s="248" t="n"/>
      <c r="DM1" s="248" t="n"/>
      <c r="DN1" s="248" t="n"/>
      <c r="DO1" s="248" t="n"/>
      <c r="DP1" s="248" t="n"/>
      <c r="DQ1" s="248" t="n"/>
      <c r="DR1" s="248" t="n"/>
      <c r="DS1" s="248" t="n"/>
      <c r="DT1" s="248" t="n"/>
      <c r="DU1" s="248" t="n"/>
      <c r="DV1" s="248" t="n"/>
      <c r="DW1" s="248" t="n"/>
      <c r="DX1" s="248" t="n"/>
      <c r="DY1" s="248" t="n"/>
      <c r="DZ1" s="248" t="n"/>
      <c r="EA1" s="248" t="n"/>
      <c r="EB1" s="248" t="n"/>
      <c r="EC1" s="248" t="n"/>
      <c r="ED1" s="248" t="n"/>
      <c r="EE1" s="248" t="n"/>
      <c r="EF1" s="248" t="n"/>
      <c r="EG1" s="248" t="n"/>
      <c r="EH1" s="248" t="n"/>
      <c r="EI1" s="248" t="n"/>
      <c r="EJ1" s="248" t="n"/>
      <c r="EK1" s="248" t="n"/>
      <c r="EL1" s="248" t="n"/>
      <c r="EM1" s="248" t="n"/>
      <c r="EN1" s="248" t="n"/>
      <c r="EO1" s="248" t="n"/>
      <c r="EP1" s="248" t="n"/>
      <c r="EQ1" s="248" t="n"/>
      <c r="ER1" s="248" t="n"/>
      <c r="ES1" s="248" t="n"/>
      <c r="ET1" s="248" t="n"/>
      <c r="EU1" s="248" t="n"/>
      <c r="EV1" s="248" t="n"/>
      <c r="EW1" s="248" t="n"/>
      <c r="EX1" s="248" t="n"/>
      <c r="EY1" s="248" t="n"/>
      <c r="EZ1" s="248" t="n"/>
      <c r="FA1" s="248" t="n"/>
      <c r="FB1" s="248" t="n"/>
      <c r="FC1" s="248" t="n"/>
      <c r="FD1" s="248" t="n"/>
      <c r="FE1" s="248" t="n"/>
      <c r="FF1" s="248" t="n"/>
      <c r="FG1" s="248" t="n"/>
      <c r="FH1" s="248" t="n"/>
      <c r="FI1" s="248" t="n"/>
      <c r="FJ1" s="248" t="n"/>
      <c r="FK1" s="248" t="n"/>
      <c r="FL1" s="248" t="n"/>
      <c r="FM1" s="248" t="n"/>
      <c r="FN1" s="248" t="n"/>
      <c r="FO1" s="248" t="n"/>
      <c r="FP1" s="248" t="n"/>
      <c r="FQ1" s="248" t="n"/>
    </row>
    <row r="2" ht="20" customHeight="1">
      <c r="A2" s="249" t="inlineStr">
        <is>
          <t>หน้าหลัก</t>
        </is>
      </c>
      <c r="B2" s="25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51" t="n"/>
      <c r="D2" s="251" t="n"/>
      <c r="E2" s="251" t="n"/>
      <c r="F2" s="251" t="n"/>
      <c r="G2" s="251" t="n"/>
      <c r="H2" s="251" t="n"/>
      <c r="I2" s="251" t="n"/>
      <c r="J2" s="251" t="n"/>
      <c r="K2" s="251" t="n"/>
      <c r="L2" s="251" t="n"/>
      <c r="M2" s="251" t="n"/>
      <c r="N2" s="251" t="n"/>
      <c r="O2" s="251" t="n"/>
      <c r="P2" s="251" t="n"/>
      <c r="Q2" s="251" t="n"/>
      <c r="R2" s="251" t="n"/>
      <c r="S2" s="251" t="n"/>
      <c r="T2" s="251" t="n"/>
      <c r="U2" s="251" t="n"/>
      <c r="V2" s="251" t="n"/>
      <c r="W2" s="251" t="n"/>
      <c r="X2" s="251" t="n"/>
      <c r="Y2" s="251" t="n"/>
      <c r="Z2" s="251" t="n"/>
      <c r="AA2" s="251" t="n"/>
      <c r="AB2" s="251" t="n"/>
      <c r="AC2" s="251" t="n"/>
      <c r="AD2" s="251" t="n"/>
      <c r="AE2" s="251" t="n"/>
      <c r="AF2" s="251" t="n"/>
      <c r="AG2" s="251" t="n"/>
      <c r="AH2" s="251" t="n"/>
      <c r="AI2" s="251" t="n"/>
      <c r="AJ2" s="251" t="n"/>
      <c r="AK2" s="251" t="n"/>
      <c r="AL2" s="251" t="n"/>
      <c r="AM2" s="251" t="n"/>
      <c r="AN2" s="251" t="n"/>
      <c r="AO2" s="251" t="n"/>
      <c r="AP2" s="251" t="n"/>
      <c r="AQ2" s="251" t="n"/>
      <c r="AR2" s="251" t="n"/>
      <c r="AS2" s="251" t="n"/>
      <c r="AT2" s="251" t="n"/>
      <c r="AU2" s="251" t="n"/>
      <c r="AV2" s="251" t="n"/>
      <c r="AW2" s="251" t="n"/>
      <c r="AX2" s="251" t="n"/>
      <c r="AY2" s="251" t="n"/>
      <c r="AZ2" s="251" t="n"/>
      <c r="BA2" s="251" t="n"/>
      <c r="BB2" s="251" t="n"/>
      <c r="BC2" s="251" t="n"/>
      <c r="BD2" s="251" t="n"/>
      <c r="BE2" s="251" t="n"/>
      <c r="BF2" s="251" t="n"/>
      <c r="BG2" s="251" t="n"/>
      <c r="BH2" s="251" t="n"/>
      <c r="BI2" s="251" t="n"/>
      <c r="BJ2" s="251" t="n"/>
      <c r="BK2" s="251" t="n"/>
      <c r="BL2" s="251" t="n"/>
      <c r="BM2" s="251" t="n"/>
      <c r="BN2" s="251" t="n"/>
      <c r="BO2" s="251" t="n"/>
      <c r="BP2" s="251" t="n"/>
      <c r="BQ2" s="251" t="n"/>
      <c r="BR2" s="251" t="n"/>
      <c r="BS2" s="251" t="n"/>
      <c r="BT2" s="251" t="n"/>
      <c r="BU2" s="251" t="n"/>
      <c r="BV2" s="251" t="n"/>
      <c r="BW2" s="251" t="n"/>
      <c r="BX2" s="251" t="n"/>
      <c r="BY2" s="251" t="n"/>
      <c r="BZ2" s="251" t="n"/>
      <c r="CA2" s="251" t="n"/>
      <c r="CB2" s="251" t="n"/>
      <c r="CC2" s="251" t="n"/>
      <c r="CD2" s="251" t="n"/>
      <c r="CE2" s="251" t="n"/>
      <c r="CF2" s="251" t="n"/>
      <c r="CG2" s="251" t="n"/>
      <c r="CH2" s="251" t="n"/>
      <c r="CI2" s="251" t="n"/>
      <c r="CJ2" s="251" t="n"/>
      <c r="CK2" s="251" t="n"/>
      <c r="CL2" s="251" t="n"/>
      <c r="CM2" s="251" t="n"/>
      <c r="CN2" s="251" t="n"/>
      <c r="CO2" s="251" t="n"/>
      <c r="CP2" s="251" t="n"/>
      <c r="CQ2" s="251" t="n"/>
      <c r="CR2" s="251" t="n"/>
      <c r="CS2" s="251" t="n"/>
      <c r="CT2" s="251" t="n"/>
      <c r="CU2" s="251" t="n"/>
      <c r="CV2" s="251" t="n"/>
      <c r="CW2" s="251" t="n"/>
      <c r="CX2" s="251" t="n"/>
      <c r="CY2" s="251" t="n"/>
      <c r="CZ2" s="251" t="n"/>
      <c r="DA2" s="251" t="n"/>
      <c r="DB2" s="251" t="n"/>
      <c r="DC2" s="251" t="n"/>
      <c r="DD2" s="251" t="n"/>
      <c r="DE2" s="251" t="n"/>
      <c r="DF2" s="251" t="n"/>
      <c r="DG2" s="251" t="n"/>
      <c r="DH2" s="251" t="n"/>
      <c r="DI2" s="251" t="n"/>
      <c r="DJ2" s="251" t="n"/>
      <c r="DK2" s="251" t="n"/>
      <c r="DL2" s="251" t="n"/>
      <c r="DM2" s="251" t="n"/>
      <c r="DN2" s="251" t="n"/>
      <c r="DO2" s="251" t="n"/>
      <c r="DP2" s="251" t="n"/>
      <c r="DQ2" s="251" t="n"/>
      <c r="DR2" s="251" t="n"/>
      <c r="DS2" s="251" t="n"/>
      <c r="DT2" s="251" t="n"/>
      <c r="DU2" s="251" t="n"/>
      <c r="DV2" s="251" t="n"/>
      <c r="DW2" s="251" t="n"/>
      <c r="DX2" s="251" t="n"/>
      <c r="DY2" s="251" t="n"/>
      <c r="DZ2" s="251" t="n"/>
      <c r="EA2" s="251" t="n"/>
      <c r="EB2" s="251" t="n"/>
      <c r="EC2" s="251" t="n"/>
      <c r="ED2" s="251" t="n"/>
      <c r="EE2" s="251" t="n"/>
      <c r="EF2" s="251" t="n"/>
      <c r="EG2" s="251" t="n"/>
      <c r="EH2" s="251" t="n"/>
      <c r="EI2" s="251" t="n"/>
      <c r="EJ2" s="251" t="n"/>
      <c r="EK2" s="251" t="n"/>
      <c r="EL2" s="251" t="n"/>
      <c r="EM2" s="251" t="n"/>
      <c r="EN2" s="251" t="n"/>
      <c r="EO2" s="251" t="n"/>
      <c r="EP2" s="251" t="n"/>
      <c r="EQ2" s="251" t="n"/>
      <c r="ER2" s="251" t="n"/>
      <c r="ES2" s="251" t="n"/>
      <c r="ET2" s="251" t="n"/>
      <c r="EU2" s="251" t="n"/>
      <c r="EV2" s="251" t="n"/>
      <c r="EW2" s="251" t="n"/>
      <c r="EX2" s="251" t="n"/>
      <c r="EY2" s="251" t="n"/>
      <c r="EZ2" s="251" t="n"/>
      <c r="FA2" s="251" t="n"/>
      <c r="FB2" s="251" t="n"/>
      <c r="FC2" s="251" t="n"/>
      <c r="FD2" s="251" t="n"/>
      <c r="FE2" s="251" t="n"/>
      <c r="FF2" s="251" t="n"/>
      <c r="FG2" s="251" t="n"/>
      <c r="FH2" s="251" t="n"/>
      <c r="FI2" s="251" t="n"/>
      <c r="FJ2" s="251" t="n"/>
      <c r="FK2" s="251" t="n"/>
      <c r="FL2" s="251" t="n"/>
      <c r="FM2" s="251" t="n"/>
      <c r="FN2" s="251" t="n"/>
      <c r="FO2" s="251" t="n"/>
      <c r="FP2" s="251" t="n"/>
      <c r="FQ2" s="251" t="n"/>
    </row>
    <row r="3" ht="18" customHeight="1">
      <c r="B3" s="252" t="inlineStr">
        <is>
          <t>รหัส   ม = มา     ส = สาย     ล = ลา     ป = ป่วย     ข = ขาด      (พิมพ์ด้วยแป้นภาษาไทยได้เลย)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253" t="inlineStr">
        <is>
          <t>เลขที่</t>
        </is>
      </c>
      <c r="B5" s="253" t="inlineStr">
        <is>
          <t>ชื่อ - สกุล</t>
        </is>
      </c>
      <c r="C5" s="254" t="inlineStr">
        <is>
          <t>ร้อยละ
มาเรียน
ทั้งภาค</t>
        </is>
      </c>
      <c r="D5" s="255">
        <f>"เดือนพฤศจิกายน  พ.ศ. "&amp;('ข้อมูลโรงเรียน'!$C$12-543+543)</f>
        <v/>
      </c>
      <c r="AI5" s="256" t="inlineStr">
        <is>
          <t>สรุป พ.ย.</t>
        </is>
      </c>
      <c r="AL5" s="255">
        <f>"เดือนธันวาคม  พ.ศ. "&amp;('ข้อมูลโรงเรียน'!$C$12-543+543)</f>
        <v/>
      </c>
      <c r="BQ5" s="256" t="inlineStr">
        <is>
          <t>สรุป ธ.ค.</t>
        </is>
      </c>
      <c r="BT5" s="255">
        <f>"เดือนมกราคม  พ.ศ. "&amp;('ข้อมูลโรงเรียน'!$C$12-542+543)</f>
        <v/>
      </c>
      <c r="CY5" s="256" t="inlineStr">
        <is>
          <t>สรุป ม.ค.</t>
        </is>
      </c>
      <c r="DB5" s="255">
        <f>"เดือนกุมภาพันธ์  พ.ศ. "&amp;('ข้อมูลโรงเรียน'!$C$12-542+543)</f>
        <v/>
      </c>
      <c r="EG5" s="256" t="inlineStr">
        <is>
          <t>สรุป ก.พ.</t>
        </is>
      </c>
      <c r="EJ5" s="255">
        <f>"เดือนมีนาคม  พ.ศ. "&amp;('ข้อมูลโรงเรียน'!$C$12-542+543)</f>
        <v/>
      </c>
      <c r="FO5" s="256" t="inlineStr">
        <is>
          <t>สรุป มี.ค.</t>
        </is>
      </c>
    </row>
    <row r="6">
      <c r="D6" s="257">
        <f>IF('ปฏิทิน'!D5="","",DAY('ปฏิทิน'!D5))</f>
        <v/>
      </c>
      <c r="E6" s="254">
        <f>IF('ปฏิทิน'!E5="","",DAY('ปฏิทิน'!E5))</f>
        <v/>
      </c>
      <c r="F6" s="254">
        <f>IF('ปฏิทิน'!F5="","",DAY('ปฏิทิน'!F5))</f>
        <v/>
      </c>
      <c r="G6" s="254">
        <f>IF('ปฏิทิน'!G5="","",DAY('ปฏิทิน'!G5))</f>
        <v/>
      </c>
      <c r="H6" s="254">
        <f>IF('ปฏิทิน'!H5="","",DAY('ปฏิทิน'!H5))</f>
        <v/>
      </c>
      <c r="I6" s="254">
        <f>IF('ปฏิทิน'!I5="","",DAY('ปฏิทิน'!I5))</f>
        <v/>
      </c>
      <c r="J6" s="254">
        <f>IF('ปฏิทิน'!J5="","",DAY('ปฏิทิน'!J5))</f>
        <v/>
      </c>
      <c r="K6" s="254">
        <f>IF('ปฏิทิน'!K5="","",DAY('ปฏิทิน'!K5))</f>
        <v/>
      </c>
      <c r="L6" s="254">
        <f>IF('ปฏิทิน'!L5="","",DAY('ปฏิทิน'!L5))</f>
        <v/>
      </c>
      <c r="M6" s="254">
        <f>IF('ปฏิทิน'!M5="","",DAY('ปฏิทิน'!M5))</f>
        <v/>
      </c>
      <c r="N6" s="254">
        <f>IF('ปฏิทิน'!N5="","",DAY('ปฏิทิน'!N5))</f>
        <v/>
      </c>
      <c r="O6" s="254">
        <f>IF('ปฏิทิน'!O5="","",DAY('ปฏิทิน'!O5))</f>
        <v/>
      </c>
      <c r="P6" s="254">
        <f>IF('ปฏิทิน'!P5="","",DAY('ปฏิทิน'!P5))</f>
        <v/>
      </c>
      <c r="Q6" s="254">
        <f>IF('ปฏิทิน'!Q5="","",DAY('ปฏิทิน'!Q5))</f>
        <v/>
      </c>
      <c r="R6" s="254">
        <f>IF('ปฏิทิน'!R5="","",DAY('ปฏิทิน'!R5))</f>
        <v/>
      </c>
      <c r="S6" s="254">
        <f>IF('ปฏิทิน'!S5="","",DAY('ปฏิทิน'!S5))</f>
        <v/>
      </c>
      <c r="T6" s="254">
        <f>IF('ปฏิทิน'!T5="","",DAY('ปฏิทิน'!T5))</f>
        <v/>
      </c>
      <c r="U6" s="254">
        <f>IF('ปฏิทิน'!U5="","",DAY('ปฏิทิน'!U5))</f>
        <v/>
      </c>
      <c r="V6" s="254">
        <f>IF('ปฏิทิน'!V5="","",DAY('ปฏิทิน'!V5))</f>
        <v/>
      </c>
      <c r="W6" s="254">
        <f>IF('ปฏิทิน'!W5="","",DAY('ปฏิทิน'!W5))</f>
        <v/>
      </c>
      <c r="X6" s="254">
        <f>IF('ปฏิทิน'!X5="","",DAY('ปฏิทิน'!X5))</f>
        <v/>
      </c>
      <c r="Y6" s="254">
        <f>IF('ปฏิทิน'!Y5="","",DAY('ปฏิทิน'!Y5))</f>
        <v/>
      </c>
      <c r="Z6" s="254">
        <f>IF('ปฏิทิน'!Z5="","",DAY('ปฏิทิน'!Z5))</f>
        <v/>
      </c>
      <c r="AA6" s="254">
        <f>IF('ปฏิทิน'!AA5="","",DAY('ปฏิทิน'!AA5))</f>
        <v/>
      </c>
      <c r="AB6" s="254">
        <f>IF('ปฏิทิน'!AB5="","",DAY('ปฏิทิน'!AB5))</f>
        <v/>
      </c>
      <c r="AC6" s="254">
        <f>IF('ปฏิทิน'!AC5="","",DAY('ปฏิทิน'!AC5))</f>
        <v/>
      </c>
      <c r="AD6" s="254">
        <f>IF('ปฏิทิน'!AD5="","",DAY('ปฏิทิน'!AD5))</f>
        <v/>
      </c>
      <c r="AE6" s="254">
        <f>IF('ปฏิทิน'!AE5="","",DAY('ปฏิทิน'!AE5))</f>
        <v/>
      </c>
      <c r="AF6" s="254">
        <f>IF('ปฏิทิน'!AF5="","",DAY('ปฏิทิน'!AF5))</f>
        <v/>
      </c>
      <c r="AG6" s="254">
        <f>IF('ปฏิทิน'!AG5="","",DAY('ปฏิทิน'!AG5))</f>
        <v/>
      </c>
      <c r="AH6" s="254">
        <f>IF('ปฏิทิน'!AH5="","",DAY('ปฏิทิน'!AH5))</f>
        <v/>
      </c>
      <c r="AI6" s="258" t="inlineStr">
        <is>
          <t>มา</t>
        </is>
      </c>
      <c r="AJ6" s="259" t="inlineStr">
        <is>
          <t>ลา
ป่วย</t>
        </is>
      </c>
      <c r="AK6" s="260" t="inlineStr">
        <is>
          <t>ขาด</t>
        </is>
      </c>
      <c r="AL6" s="257">
        <f>IF('ปฏิทิน'!AL5="","",DAY('ปฏิทิน'!AL5))</f>
        <v/>
      </c>
      <c r="AM6" s="254">
        <f>IF('ปฏิทิน'!AM5="","",DAY('ปฏิทิน'!AM5))</f>
        <v/>
      </c>
      <c r="AN6" s="254">
        <f>IF('ปฏิทิน'!AN5="","",DAY('ปฏิทิน'!AN5))</f>
        <v/>
      </c>
      <c r="AO6" s="254">
        <f>IF('ปฏิทิน'!AO5="","",DAY('ปฏิทิน'!AO5))</f>
        <v/>
      </c>
      <c r="AP6" s="254">
        <f>IF('ปฏิทิน'!AP5="","",DAY('ปฏิทิน'!AP5))</f>
        <v/>
      </c>
      <c r="AQ6" s="254">
        <f>IF('ปฏิทิน'!AQ5="","",DAY('ปฏิทิน'!AQ5))</f>
        <v/>
      </c>
      <c r="AR6" s="254">
        <f>IF('ปฏิทิน'!AR5="","",DAY('ปฏิทิน'!AR5))</f>
        <v/>
      </c>
      <c r="AS6" s="254">
        <f>IF('ปฏิทิน'!AS5="","",DAY('ปฏิทิน'!AS5))</f>
        <v/>
      </c>
      <c r="AT6" s="254">
        <f>IF('ปฏิทิน'!AT5="","",DAY('ปฏิทิน'!AT5))</f>
        <v/>
      </c>
      <c r="AU6" s="254">
        <f>IF('ปฏิทิน'!AU5="","",DAY('ปฏิทิน'!AU5))</f>
        <v/>
      </c>
      <c r="AV6" s="254">
        <f>IF('ปฏิทิน'!AV5="","",DAY('ปฏิทิน'!AV5))</f>
        <v/>
      </c>
      <c r="AW6" s="254">
        <f>IF('ปฏิทิน'!AW5="","",DAY('ปฏิทิน'!AW5))</f>
        <v/>
      </c>
      <c r="AX6" s="254">
        <f>IF('ปฏิทิน'!AX5="","",DAY('ปฏิทิน'!AX5))</f>
        <v/>
      </c>
      <c r="AY6" s="254">
        <f>IF('ปฏิทิน'!AY5="","",DAY('ปฏิทิน'!AY5))</f>
        <v/>
      </c>
      <c r="AZ6" s="254">
        <f>IF('ปฏิทิน'!AZ5="","",DAY('ปฏิทิน'!AZ5))</f>
        <v/>
      </c>
      <c r="BA6" s="254">
        <f>IF('ปฏิทิน'!BA5="","",DAY('ปฏิทิน'!BA5))</f>
        <v/>
      </c>
      <c r="BB6" s="254">
        <f>IF('ปฏิทิน'!BB5="","",DAY('ปฏิทิน'!BB5))</f>
        <v/>
      </c>
      <c r="BC6" s="254">
        <f>IF('ปฏิทิน'!BC5="","",DAY('ปฏิทิน'!BC5))</f>
        <v/>
      </c>
      <c r="BD6" s="254">
        <f>IF('ปฏิทิน'!BD5="","",DAY('ปฏิทิน'!BD5))</f>
        <v/>
      </c>
      <c r="BE6" s="254">
        <f>IF('ปฏิทิน'!BE5="","",DAY('ปฏิทิน'!BE5))</f>
        <v/>
      </c>
      <c r="BF6" s="254">
        <f>IF('ปฏิทิน'!BF5="","",DAY('ปฏิทิน'!BF5))</f>
        <v/>
      </c>
      <c r="BG6" s="254">
        <f>IF('ปฏิทิน'!BG5="","",DAY('ปฏิทิน'!BG5))</f>
        <v/>
      </c>
      <c r="BH6" s="254">
        <f>IF('ปฏิทิน'!BH5="","",DAY('ปฏิทิน'!BH5))</f>
        <v/>
      </c>
      <c r="BI6" s="254">
        <f>IF('ปฏิทิน'!BI5="","",DAY('ปฏิทิน'!BI5))</f>
        <v/>
      </c>
      <c r="BJ6" s="254">
        <f>IF('ปฏิทิน'!BJ5="","",DAY('ปฏิทิน'!BJ5))</f>
        <v/>
      </c>
      <c r="BK6" s="254">
        <f>IF('ปฏิทิน'!BK5="","",DAY('ปฏิทิน'!BK5))</f>
        <v/>
      </c>
      <c r="BL6" s="254">
        <f>IF('ปฏิทิน'!BL5="","",DAY('ปฏิทิน'!BL5))</f>
        <v/>
      </c>
      <c r="BM6" s="254">
        <f>IF('ปฏิทิน'!BM5="","",DAY('ปฏิทิน'!BM5))</f>
        <v/>
      </c>
      <c r="BN6" s="254">
        <f>IF('ปฏิทิน'!BN5="","",DAY('ปฏิทิน'!BN5))</f>
        <v/>
      </c>
      <c r="BO6" s="254">
        <f>IF('ปฏิทิน'!BO5="","",DAY('ปฏิทิน'!BO5))</f>
        <v/>
      </c>
      <c r="BP6" s="254">
        <f>IF('ปฏิทิน'!BP5="","",DAY('ปฏิทิน'!BP5))</f>
        <v/>
      </c>
      <c r="BQ6" s="258" t="inlineStr">
        <is>
          <t>มา</t>
        </is>
      </c>
      <c r="BR6" s="259" t="inlineStr">
        <is>
          <t>ลา
ป่วย</t>
        </is>
      </c>
      <c r="BS6" s="260" t="inlineStr">
        <is>
          <t>ขาด</t>
        </is>
      </c>
      <c r="BT6" s="257">
        <f>IF('ปฏิทิน'!BT5="","",DAY('ปฏิทิน'!BT5))</f>
        <v/>
      </c>
      <c r="BU6" s="254">
        <f>IF('ปฏิทิน'!BU5="","",DAY('ปฏิทิน'!BU5))</f>
        <v/>
      </c>
      <c r="BV6" s="254">
        <f>IF('ปฏิทิน'!BV5="","",DAY('ปฏิทิน'!BV5))</f>
        <v/>
      </c>
      <c r="BW6" s="254">
        <f>IF('ปฏิทิน'!BW5="","",DAY('ปฏิทิน'!BW5))</f>
        <v/>
      </c>
      <c r="BX6" s="254">
        <f>IF('ปฏิทิน'!BX5="","",DAY('ปฏิทิน'!BX5))</f>
        <v/>
      </c>
      <c r="BY6" s="254">
        <f>IF('ปฏิทิน'!BY5="","",DAY('ปฏิทิน'!BY5))</f>
        <v/>
      </c>
      <c r="BZ6" s="254">
        <f>IF('ปฏิทิน'!BZ5="","",DAY('ปฏิทิน'!BZ5))</f>
        <v/>
      </c>
      <c r="CA6" s="254">
        <f>IF('ปฏิทิน'!CA5="","",DAY('ปฏิทิน'!CA5))</f>
        <v/>
      </c>
      <c r="CB6" s="254">
        <f>IF('ปฏิทิน'!CB5="","",DAY('ปฏิทิน'!CB5))</f>
        <v/>
      </c>
      <c r="CC6" s="254">
        <f>IF('ปฏิทิน'!CC5="","",DAY('ปฏิทิน'!CC5))</f>
        <v/>
      </c>
      <c r="CD6" s="254">
        <f>IF('ปฏิทิน'!CD5="","",DAY('ปฏิทิน'!CD5))</f>
        <v/>
      </c>
      <c r="CE6" s="254">
        <f>IF('ปฏิทิน'!CE5="","",DAY('ปฏิทิน'!CE5))</f>
        <v/>
      </c>
      <c r="CF6" s="254">
        <f>IF('ปฏิทิน'!CF5="","",DAY('ปฏิทิน'!CF5))</f>
        <v/>
      </c>
      <c r="CG6" s="254">
        <f>IF('ปฏิทิน'!CG5="","",DAY('ปฏิทิน'!CG5))</f>
        <v/>
      </c>
      <c r="CH6" s="254">
        <f>IF('ปฏิทิน'!CH5="","",DAY('ปฏิทิน'!CH5))</f>
        <v/>
      </c>
      <c r="CI6" s="254">
        <f>IF('ปฏิทิน'!CI5="","",DAY('ปฏิทิน'!CI5))</f>
        <v/>
      </c>
      <c r="CJ6" s="254">
        <f>IF('ปฏิทิน'!CJ5="","",DAY('ปฏิทิน'!CJ5))</f>
        <v/>
      </c>
      <c r="CK6" s="254">
        <f>IF('ปฏิทิน'!CK5="","",DAY('ปฏิทิน'!CK5))</f>
        <v/>
      </c>
      <c r="CL6" s="254">
        <f>IF('ปฏิทิน'!CL5="","",DAY('ปฏิทิน'!CL5))</f>
        <v/>
      </c>
      <c r="CM6" s="254">
        <f>IF('ปฏิทิน'!CM5="","",DAY('ปฏิทิน'!CM5))</f>
        <v/>
      </c>
      <c r="CN6" s="254">
        <f>IF('ปฏิทิน'!CN5="","",DAY('ปฏิทิน'!CN5))</f>
        <v/>
      </c>
      <c r="CO6" s="254">
        <f>IF('ปฏิทิน'!CO5="","",DAY('ปฏิทิน'!CO5))</f>
        <v/>
      </c>
      <c r="CP6" s="254">
        <f>IF('ปฏิทิน'!CP5="","",DAY('ปฏิทิน'!CP5))</f>
        <v/>
      </c>
      <c r="CQ6" s="254">
        <f>IF('ปฏิทิน'!CQ5="","",DAY('ปฏิทิน'!CQ5))</f>
        <v/>
      </c>
      <c r="CR6" s="254">
        <f>IF('ปฏิทิน'!CR5="","",DAY('ปฏิทิน'!CR5))</f>
        <v/>
      </c>
      <c r="CS6" s="254">
        <f>IF('ปฏิทิน'!CS5="","",DAY('ปฏิทิน'!CS5))</f>
        <v/>
      </c>
      <c r="CT6" s="254">
        <f>IF('ปฏิทิน'!CT5="","",DAY('ปฏิทิน'!CT5))</f>
        <v/>
      </c>
      <c r="CU6" s="254">
        <f>IF('ปฏิทิน'!CU5="","",DAY('ปฏิทิน'!CU5))</f>
        <v/>
      </c>
      <c r="CV6" s="254">
        <f>IF('ปฏิทิน'!CV5="","",DAY('ปฏิทิน'!CV5))</f>
        <v/>
      </c>
      <c r="CW6" s="254">
        <f>IF('ปฏิทิน'!CW5="","",DAY('ปฏิทิน'!CW5))</f>
        <v/>
      </c>
      <c r="CX6" s="254">
        <f>IF('ปฏิทิน'!CX5="","",DAY('ปฏิทิน'!CX5))</f>
        <v/>
      </c>
      <c r="CY6" s="258" t="inlineStr">
        <is>
          <t>มา</t>
        </is>
      </c>
      <c r="CZ6" s="259" t="inlineStr">
        <is>
          <t>ลา
ป่วย</t>
        </is>
      </c>
      <c r="DA6" s="260" t="inlineStr">
        <is>
          <t>ขาด</t>
        </is>
      </c>
      <c r="DB6" s="257">
        <f>IF('ปฏิทิน'!DB5="","",DAY('ปฏิทิน'!DB5))</f>
        <v/>
      </c>
      <c r="DC6" s="254">
        <f>IF('ปฏิทิน'!DC5="","",DAY('ปฏิทิน'!DC5))</f>
        <v/>
      </c>
      <c r="DD6" s="254">
        <f>IF('ปฏิทิน'!DD5="","",DAY('ปฏิทิน'!DD5))</f>
        <v/>
      </c>
      <c r="DE6" s="254">
        <f>IF('ปฏิทิน'!DE5="","",DAY('ปฏิทิน'!DE5))</f>
        <v/>
      </c>
      <c r="DF6" s="254">
        <f>IF('ปฏิทิน'!DF5="","",DAY('ปฏิทิน'!DF5))</f>
        <v/>
      </c>
      <c r="DG6" s="254">
        <f>IF('ปฏิทิน'!DG5="","",DAY('ปฏิทิน'!DG5))</f>
        <v/>
      </c>
      <c r="DH6" s="254">
        <f>IF('ปฏิทิน'!DH5="","",DAY('ปฏิทิน'!DH5))</f>
        <v/>
      </c>
      <c r="DI6" s="254">
        <f>IF('ปฏิทิน'!DI5="","",DAY('ปฏิทิน'!DI5))</f>
        <v/>
      </c>
      <c r="DJ6" s="254">
        <f>IF('ปฏิทิน'!DJ5="","",DAY('ปฏิทิน'!DJ5))</f>
        <v/>
      </c>
      <c r="DK6" s="254">
        <f>IF('ปฏิทิน'!DK5="","",DAY('ปฏิทิน'!DK5))</f>
        <v/>
      </c>
      <c r="DL6" s="254">
        <f>IF('ปฏิทิน'!DL5="","",DAY('ปฏิทิน'!DL5))</f>
        <v/>
      </c>
      <c r="DM6" s="254">
        <f>IF('ปฏิทิน'!DM5="","",DAY('ปฏิทิน'!DM5))</f>
        <v/>
      </c>
      <c r="DN6" s="254">
        <f>IF('ปฏิทิน'!DN5="","",DAY('ปฏิทิน'!DN5))</f>
        <v/>
      </c>
      <c r="DO6" s="254">
        <f>IF('ปฏิทิน'!DO5="","",DAY('ปฏิทิน'!DO5))</f>
        <v/>
      </c>
      <c r="DP6" s="254">
        <f>IF('ปฏิทิน'!DP5="","",DAY('ปฏิทิน'!DP5))</f>
        <v/>
      </c>
      <c r="DQ6" s="254">
        <f>IF('ปฏิทิน'!DQ5="","",DAY('ปฏิทิน'!DQ5))</f>
        <v/>
      </c>
      <c r="DR6" s="254">
        <f>IF('ปฏิทิน'!DR5="","",DAY('ปฏิทิน'!DR5))</f>
        <v/>
      </c>
      <c r="DS6" s="254">
        <f>IF('ปฏิทิน'!DS5="","",DAY('ปฏิทิน'!DS5))</f>
        <v/>
      </c>
      <c r="DT6" s="254">
        <f>IF('ปฏิทิน'!DT5="","",DAY('ปฏิทิน'!DT5))</f>
        <v/>
      </c>
      <c r="DU6" s="254">
        <f>IF('ปฏิทิน'!DU5="","",DAY('ปฏิทิน'!DU5))</f>
        <v/>
      </c>
      <c r="DV6" s="254">
        <f>IF('ปฏิทิน'!DV5="","",DAY('ปฏิทิน'!DV5))</f>
        <v/>
      </c>
      <c r="DW6" s="254">
        <f>IF('ปฏิทิน'!DW5="","",DAY('ปฏิทิน'!DW5))</f>
        <v/>
      </c>
      <c r="DX6" s="254">
        <f>IF('ปฏิทิน'!DX5="","",DAY('ปฏิทิน'!DX5))</f>
        <v/>
      </c>
      <c r="DY6" s="254">
        <f>IF('ปฏิทิน'!DY5="","",DAY('ปฏิทิน'!DY5))</f>
        <v/>
      </c>
      <c r="DZ6" s="254">
        <f>IF('ปฏิทิน'!DZ5="","",DAY('ปฏิทิน'!DZ5))</f>
        <v/>
      </c>
      <c r="EA6" s="254">
        <f>IF('ปฏิทิน'!EA5="","",DAY('ปฏิทิน'!EA5))</f>
        <v/>
      </c>
      <c r="EB6" s="254">
        <f>IF('ปฏิทิน'!EB5="","",DAY('ปฏิทิน'!EB5))</f>
        <v/>
      </c>
      <c r="EC6" s="254">
        <f>IF('ปฏิทิน'!EC5="","",DAY('ปฏิทิน'!EC5))</f>
        <v/>
      </c>
      <c r="ED6" s="254">
        <f>IF('ปฏิทิน'!ED5="","",DAY('ปฏิทิน'!ED5))</f>
        <v/>
      </c>
      <c r="EE6" s="254">
        <f>IF('ปฏิทิน'!EE5="","",DAY('ปฏิทิน'!EE5))</f>
        <v/>
      </c>
      <c r="EF6" s="254">
        <f>IF('ปฏิทิน'!EF5="","",DAY('ปฏิทิน'!EF5))</f>
        <v/>
      </c>
      <c r="EG6" s="258" t="inlineStr">
        <is>
          <t>มา</t>
        </is>
      </c>
      <c r="EH6" s="259" t="inlineStr">
        <is>
          <t>ลา
ป่วย</t>
        </is>
      </c>
      <c r="EI6" s="260" t="inlineStr">
        <is>
          <t>ขาด</t>
        </is>
      </c>
      <c r="EJ6" s="257">
        <f>IF('ปฏิทิน'!EJ5="","",DAY('ปฏิทิน'!EJ5))</f>
        <v/>
      </c>
      <c r="EK6" s="254">
        <f>IF('ปฏิทิน'!EK5="","",DAY('ปฏิทิน'!EK5))</f>
        <v/>
      </c>
      <c r="EL6" s="254">
        <f>IF('ปฏิทิน'!EL5="","",DAY('ปฏิทิน'!EL5))</f>
        <v/>
      </c>
      <c r="EM6" s="254">
        <f>IF('ปฏิทิน'!EM5="","",DAY('ปฏิทิน'!EM5))</f>
        <v/>
      </c>
      <c r="EN6" s="254">
        <f>IF('ปฏิทิน'!EN5="","",DAY('ปฏิทิน'!EN5))</f>
        <v/>
      </c>
      <c r="EO6" s="254">
        <f>IF('ปฏิทิน'!EO5="","",DAY('ปฏิทิน'!EO5))</f>
        <v/>
      </c>
      <c r="EP6" s="254">
        <f>IF('ปฏิทิน'!EP5="","",DAY('ปฏิทิน'!EP5))</f>
        <v/>
      </c>
      <c r="EQ6" s="254">
        <f>IF('ปฏิทิน'!EQ5="","",DAY('ปฏิทิน'!EQ5))</f>
        <v/>
      </c>
      <c r="ER6" s="254">
        <f>IF('ปฏิทิน'!ER5="","",DAY('ปฏิทิน'!ER5))</f>
        <v/>
      </c>
      <c r="ES6" s="254">
        <f>IF('ปฏิทิน'!ES5="","",DAY('ปฏิทิน'!ES5))</f>
        <v/>
      </c>
      <c r="ET6" s="254">
        <f>IF('ปฏิทิน'!ET5="","",DAY('ปฏิทิน'!ET5))</f>
        <v/>
      </c>
      <c r="EU6" s="254">
        <f>IF('ปฏิทิน'!EU5="","",DAY('ปฏิทิน'!EU5))</f>
        <v/>
      </c>
      <c r="EV6" s="254">
        <f>IF('ปฏิทิน'!EV5="","",DAY('ปฏิทิน'!EV5))</f>
        <v/>
      </c>
      <c r="EW6" s="254">
        <f>IF('ปฏิทิน'!EW5="","",DAY('ปฏิทิน'!EW5))</f>
        <v/>
      </c>
      <c r="EX6" s="254">
        <f>IF('ปฏิทิน'!EX5="","",DAY('ปฏิทิน'!EX5))</f>
        <v/>
      </c>
      <c r="EY6" s="254">
        <f>IF('ปฏิทิน'!EY5="","",DAY('ปฏิทิน'!EY5))</f>
        <v/>
      </c>
      <c r="EZ6" s="254">
        <f>IF('ปฏิทิน'!EZ5="","",DAY('ปฏิทิน'!EZ5))</f>
        <v/>
      </c>
      <c r="FA6" s="254">
        <f>IF('ปฏิทิน'!FA5="","",DAY('ปฏิทิน'!FA5))</f>
        <v/>
      </c>
      <c r="FB6" s="254">
        <f>IF('ปฏิทิน'!FB5="","",DAY('ปฏิทิน'!FB5))</f>
        <v/>
      </c>
      <c r="FC6" s="254">
        <f>IF('ปฏิทิน'!FC5="","",DAY('ปฏิทิน'!FC5))</f>
        <v/>
      </c>
      <c r="FD6" s="254">
        <f>IF('ปฏิทิน'!FD5="","",DAY('ปฏิทิน'!FD5))</f>
        <v/>
      </c>
      <c r="FE6" s="254">
        <f>IF('ปฏิทิน'!FE5="","",DAY('ปฏิทิน'!FE5))</f>
        <v/>
      </c>
      <c r="FF6" s="254">
        <f>IF('ปฏิทิน'!FF5="","",DAY('ปฏิทิน'!FF5))</f>
        <v/>
      </c>
      <c r="FG6" s="254">
        <f>IF('ปฏิทิน'!FG5="","",DAY('ปฏิทิน'!FG5))</f>
        <v/>
      </c>
      <c r="FH6" s="254">
        <f>IF('ปฏิทิน'!FH5="","",DAY('ปฏิทิน'!FH5))</f>
        <v/>
      </c>
      <c r="FI6" s="254">
        <f>IF('ปฏิทิน'!FI5="","",DAY('ปฏิทิน'!FI5))</f>
        <v/>
      </c>
      <c r="FJ6" s="254">
        <f>IF('ปฏิทิน'!FJ5="","",DAY('ปฏิทิน'!FJ5))</f>
        <v/>
      </c>
      <c r="FK6" s="254">
        <f>IF('ปฏิทิน'!FK5="","",DAY('ปฏิทิน'!FK5))</f>
        <v/>
      </c>
      <c r="FL6" s="254">
        <f>IF('ปฏิทิน'!FL5="","",DAY('ปฏิทิน'!FL5))</f>
        <v/>
      </c>
      <c r="FM6" s="254">
        <f>IF('ปฏิทิน'!FM5="","",DAY('ปฏิทิน'!FM5))</f>
        <v/>
      </c>
      <c r="FN6" s="254">
        <f>IF('ปฏิทิน'!FN5="","",DAY('ปฏิทิน'!FN5))</f>
        <v/>
      </c>
      <c r="FO6" s="258" t="inlineStr">
        <is>
          <t>มา</t>
        </is>
      </c>
      <c r="FP6" s="259" t="inlineStr">
        <is>
          <t>ลา
ป่วย</t>
        </is>
      </c>
      <c r="FQ6" s="260" t="inlineStr">
        <is>
          <t>ขาด</t>
        </is>
      </c>
    </row>
    <row r="7">
      <c r="D7" s="261">
        <f>IF('ปฏิทิน'!D5="","",CHOOSE(WEEKDAY('ปฏิทิน'!D5,2),"จ.","อ.","พ.","พฤ.","ศ.","ส.","อา."))</f>
        <v/>
      </c>
      <c r="E7" s="262">
        <f>IF('ปฏิทิน'!E5="","",CHOOSE(WEEKDAY('ปฏิทิน'!E5,2),"จ.","อ.","พ.","พฤ.","ศ.","ส.","อา."))</f>
        <v/>
      </c>
      <c r="F7" s="262">
        <f>IF('ปฏิทิน'!F5="","",CHOOSE(WEEKDAY('ปฏิทิน'!F5,2),"จ.","อ.","พ.","พฤ.","ศ.","ส.","อา."))</f>
        <v/>
      </c>
      <c r="G7" s="262">
        <f>IF('ปฏิทิน'!G5="","",CHOOSE(WEEKDAY('ปฏิทิน'!G5,2),"จ.","อ.","พ.","พฤ.","ศ.","ส.","อา."))</f>
        <v/>
      </c>
      <c r="H7" s="262">
        <f>IF('ปฏิทิน'!H5="","",CHOOSE(WEEKDAY('ปฏิทิน'!H5,2),"จ.","อ.","พ.","พฤ.","ศ.","ส.","อา."))</f>
        <v/>
      </c>
      <c r="I7" s="262">
        <f>IF('ปฏิทิน'!I5="","",CHOOSE(WEEKDAY('ปฏิทิน'!I5,2),"จ.","อ.","พ.","พฤ.","ศ.","ส.","อา."))</f>
        <v/>
      </c>
      <c r="J7" s="262">
        <f>IF('ปฏิทิน'!J5="","",CHOOSE(WEEKDAY('ปฏิทิน'!J5,2),"จ.","อ.","พ.","พฤ.","ศ.","ส.","อา."))</f>
        <v/>
      </c>
      <c r="K7" s="262">
        <f>IF('ปฏิทิน'!K5="","",CHOOSE(WEEKDAY('ปฏิทิน'!K5,2),"จ.","อ.","พ.","พฤ.","ศ.","ส.","อา."))</f>
        <v/>
      </c>
      <c r="L7" s="262">
        <f>IF('ปฏิทิน'!L5="","",CHOOSE(WEEKDAY('ปฏิทิน'!L5,2),"จ.","อ.","พ.","พฤ.","ศ.","ส.","อา."))</f>
        <v/>
      </c>
      <c r="M7" s="262">
        <f>IF('ปฏิทิน'!M5="","",CHOOSE(WEEKDAY('ปฏิทิน'!M5,2),"จ.","อ.","พ.","พฤ.","ศ.","ส.","อา."))</f>
        <v/>
      </c>
      <c r="N7" s="262">
        <f>IF('ปฏิทิน'!N5="","",CHOOSE(WEEKDAY('ปฏิทิน'!N5,2),"จ.","อ.","พ.","พฤ.","ศ.","ส.","อา."))</f>
        <v/>
      </c>
      <c r="O7" s="262">
        <f>IF('ปฏิทิน'!O5="","",CHOOSE(WEEKDAY('ปฏิทิน'!O5,2),"จ.","อ.","พ.","พฤ.","ศ.","ส.","อา."))</f>
        <v/>
      </c>
      <c r="P7" s="262">
        <f>IF('ปฏิทิน'!P5="","",CHOOSE(WEEKDAY('ปฏิทิน'!P5,2),"จ.","อ.","พ.","พฤ.","ศ.","ส.","อา."))</f>
        <v/>
      </c>
      <c r="Q7" s="262">
        <f>IF('ปฏิทิน'!Q5="","",CHOOSE(WEEKDAY('ปฏิทิน'!Q5,2),"จ.","อ.","พ.","พฤ.","ศ.","ส.","อา."))</f>
        <v/>
      </c>
      <c r="R7" s="262">
        <f>IF('ปฏิทิน'!R5="","",CHOOSE(WEEKDAY('ปฏิทิน'!R5,2),"จ.","อ.","พ.","พฤ.","ศ.","ส.","อา."))</f>
        <v/>
      </c>
      <c r="S7" s="262">
        <f>IF('ปฏิทิน'!S5="","",CHOOSE(WEEKDAY('ปฏิทิน'!S5,2),"จ.","อ.","พ.","พฤ.","ศ.","ส.","อา."))</f>
        <v/>
      </c>
      <c r="T7" s="262">
        <f>IF('ปฏิทิน'!T5="","",CHOOSE(WEEKDAY('ปฏิทิน'!T5,2),"จ.","อ.","พ.","พฤ.","ศ.","ส.","อา."))</f>
        <v/>
      </c>
      <c r="U7" s="262">
        <f>IF('ปฏิทิน'!U5="","",CHOOSE(WEEKDAY('ปฏิทิน'!U5,2),"จ.","อ.","พ.","พฤ.","ศ.","ส.","อา."))</f>
        <v/>
      </c>
      <c r="V7" s="262">
        <f>IF('ปฏิทิน'!V5="","",CHOOSE(WEEKDAY('ปฏิทิน'!V5,2),"จ.","อ.","พ.","พฤ.","ศ.","ส.","อา."))</f>
        <v/>
      </c>
      <c r="W7" s="262">
        <f>IF('ปฏิทิน'!W5="","",CHOOSE(WEEKDAY('ปฏิทิน'!W5,2),"จ.","อ.","พ.","พฤ.","ศ.","ส.","อา."))</f>
        <v/>
      </c>
      <c r="X7" s="262">
        <f>IF('ปฏิทิน'!X5="","",CHOOSE(WEEKDAY('ปฏิทิน'!X5,2),"จ.","อ.","พ.","พฤ.","ศ.","ส.","อา."))</f>
        <v/>
      </c>
      <c r="Y7" s="262">
        <f>IF('ปฏิทิน'!Y5="","",CHOOSE(WEEKDAY('ปฏิทิน'!Y5,2),"จ.","อ.","พ.","พฤ.","ศ.","ส.","อา."))</f>
        <v/>
      </c>
      <c r="Z7" s="262">
        <f>IF('ปฏิทิน'!Z5="","",CHOOSE(WEEKDAY('ปฏิทิน'!Z5,2),"จ.","อ.","พ.","พฤ.","ศ.","ส.","อา."))</f>
        <v/>
      </c>
      <c r="AA7" s="262">
        <f>IF('ปฏิทิน'!AA5="","",CHOOSE(WEEKDAY('ปฏิทิน'!AA5,2),"จ.","อ.","พ.","พฤ.","ศ.","ส.","อา."))</f>
        <v/>
      </c>
      <c r="AB7" s="262">
        <f>IF('ปฏิทิน'!AB5="","",CHOOSE(WEEKDAY('ปฏิทิน'!AB5,2),"จ.","อ.","พ.","พฤ.","ศ.","ส.","อา."))</f>
        <v/>
      </c>
      <c r="AC7" s="262">
        <f>IF('ปฏิทิน'!AC5="","",CHOOSE(WEEKDAY('ปฏิทิน'!AC5,2),"จ.","อ.","พ.","พฤ.","ศ.","ส.","อา."))</f>
        <v/>
      </c>
      <c r="AD7" s="262">
        <f>IF('ปฏิทิน'!AD5="","",CHOOSE(WEEKDAY('ปฏิทิน'!AD5,2),"จ.","อ.","พ.","พฤ.","ศ.","ส.","อา."))</f>
        <v/>
      </c>
      <c r="AE7" s="262">
        <f>IF('ปฏิทิน'!AE5="","",CHOOSE(WEEKDAY('ปฏิทิน'!AE5,2),"จ.","อ.","พ.","พฤ.","ศ.","ส.","อา."))</f>
        <v/>
      </c>
      <c r="AF7" s="262">
        <f>IF('ปฏิทิน'!AF5="","",CHOOSE(WEEKDAY('ปฏิทิน'!AF5,2),"จ.","อ.","พ.","พฤ.","ศ.","ส.","อา."))</f>
        <v/>
      </c>
      <c r="AG7" s="262">
        <f>IF('ปฏิทิน'!AG5="","",CHOOSE(WEEKDAY('ปฏิทิน'!AG5,2),"จ.","อ.","พ.","พฤ.","ศ.","ส.","อา."))</f>
        <v/>
      </c>
      <c r="AH7" s="262">
        <f>IF('ปฏิทิน'!AH5="","",CHOOSE(WEEKDAY('ปฏิทิน'!AH5,2),"จ.","อ.","พ.","พฤ.","ศ.","ส.","อา."))</f>
        <v/>
      </c>
      <c r="AI7" s="263" t="n"/>
      <c r="AL7" s="261">
        <f>IF('ปฏิทิน'!AL5="","",CHOOSE(WEEKDAY('ปฏิทิน'!AL5,2),"จ.","อ.","พ.","พฤ.","ศ.","ส.","อา."))</f>
        <v/>
      </c>
      <c r="AM7" s="262">
        <f>IF('ปฏิทิน'!AM5="","",CHOOSE(WEEKDAY('ปฏิทิน'!AM5,2),"จ.","อ.","พ.","พฤ.","ศ.","ส.","อา."))</f>
        <v/>
      </c>
      <c r="AN7" s="262">
        <f>IF('ปฏิทิน'!AN5="","",CHOOSE(WEEKDAY('ปฏิทิน'!AN5,2),"จ.","อ.","พ.","พฤ.","ศ.","ส.","อา."))</f>
        <v/>
      </c>
      <c r="AO7" s="262">
        <f>IF('ปฏิทิน'!AO5="","",CHOOSE(WEEKDAY('ปฏิทิน'!AO5,2),"จ.","อ.","พ.","พฤ.","ศ.","ส.","อา."))</f>
        <v/>
      </c>
      <c r="AP7" s="262">
        <f>IF('ปฏิทิน'!AP5="","",CHOOSE(WEEKDAY('ปฏิทิน'!AP5,2),"จ.","อ.","พ.","พฤ.","ศ.","ส.","อา."))</f>
        <v/>
      </c>
      <c r="AQ7" s="262">
        <f>IF('ปฏิทิน'!AQ5="","",CHOOSE(WEEKDAY('ปฏิทิน'!AQ5,2),"จ.","อ.","พ.","พฤ.","ศ.","ส.","อา."))</f>
        <v/>
      </c>
      <c r="AR7" s="262">
        <f>IF('ปฏิทิน'!AR5="","",CHOOSE(WEEKDAY('ปฏิทิน'!AR5,2),"จ.","อ.","พ.","พฤ.","ศ.","ส.","อา."))</f>
        <v/>
      </c>
      <c r="AS7" s="262">
        <f>IF('ปฏิทิน'!AS5="","",CHOOSE(WEEKDAY('ปฏิทิน'!AS5,2),"จ.","อ.","พ.","พฤ.","ศ.","ส.","อา."))</f>
        <v/>
      </c>
      <c r="AT7" s="262">
        <f>IF('ปฏิทิน'!AT5="","",CHOOSE(WEEKDAY('ปฏิทิน'!AT5,2),"จ.","อ.","พ.","พฤ.","ศ.","ส.","อา."))</f>
        <v/>
      </c>
      <c r="AU7" s="262">
        <f>IF('ปฏิทิน'!AU5="","",CHOOSE(WEEKDAY('ปฏิทิน'!AU5,2),"จ.","อ.","พ.","พฤ.","ศ.","ส.","อา."))</f>
        <v/>
      </c>
      <c r="AV7" s="262">
        <f>IF('ปฏิทิน'!AV5="","",CHOOSE(WEEKDAY('ปฏิทิน'!AV5,2),"จ.","อ.","พ.","พฤ.","ศ.","ส.","อา."))</f>
        <v/>
      </c>
      <c r="AW7" s="262">
        <f>IF('ปฏิทิน'!AW5="","",CHOOSE(WEEKDAY('ปฏิทิน'!AW5,2),"จ.","อ.","พ.","พฤ.","ศ.","ส.","อา."))</f>
        <v/>
      </c>
      <c r="AX7" s="262">
        <f>IF('ปฏิทิน'!AX5="","",CHOOSE(WEEKDAY('ปฏิทิน'!AX5,2),"จ.","อ.","พ.","พฤ.","ศ.","ส.","อา."))</f>
        <v/>
      </c>
      <c r="AY7" s="262">
        <f>IF('ปฏิทิน'!AY5="","",CHOOSE(WEEKDAY('ปฏิทิน'!AY5,2),"จ.","อ.","พ.","พฤ.","ศ.","ส.","อา."))</f>
        <v/>
      </c>
      <c r="AZ7" s="262">
        <f>IF('ปฏิทิน'!AZ5="","",CHOOSE(WEEKDAY('ปฏิทิน'!AZ5,2),"จ.","อ.","พ.","พฤ.","ศ.","ส.","อา."))</f>
        <v/>
      </c>
      <c r="BA7" s="262">
        <f>IF('ปฏิทิน'!BA5="","",CHOOSE(WEEKDAY('ปฏิทิน'!BA5,2),"จ.","อ.","พ.","พฤ.","ศ.","ส.","อา."))</f>
        <v/>
      </c>
      <c r="BB7" s="262">
        <f>IF('ปฏิทิน'!BB5="","",CHOOSE(WEEKDAY('ปฏิทิน'!BB5,2),"จ.","อ.","พ.","พฤ.","ศ.","ส.","อา."))</f>
        <v/>
      </c>
      <c r="BC7" s="262">
        <f>IF('ปฏิทิน'!BC5="","",CHOOSE(WEEKDAY('ปฏิทิน'!BC5,2),"จ.","อ.","พ.","พฤ.","ศ.","ส.","อา."))</f>
        <v/>
      </c>
      <c r="BD7" s="262">
        <f>IF('ปฏิทิน'!BD5="","",CHOOSE(WEEKDAY('ปฏิทิน'!BD5,2),"จ.","อ.","พ.","พฤ.","ศ.","ส.","อา."))</f>
        <v/>
      </c>
      <c r="BE7" s="262">
        <f>IF('ปฏิทิน'!BE5="","",CHOOSE(WEEKDAY('ปฏิทิน'!BE5,2),"จ.","อ.","พ.","พฤ.","ศ.","ส.","อา."))</f>
        <v/>
      </c>
      <c r="BF7" s="262">
        <f>IF('ปฏิทิน'!BF5="","",CHOOSE(WEEKDAY('ปฏิทิน'!BF5,2),"จ.","อ.","พ.","พฤ.","ศ.","ส.","อา."))</f>
        <v/>
      </c>
      <c r="BG7" s="262">
        <f>IF('ปฏิทิน'!BG5="","",CHOOSE(WEEKDAY('ปฏิทิน'!BG5,2),"จ.","อ.","พ.","พฤ.","ศ.","ส.","อา."))</f>
        <v/>
      </c>
      <c r="BH7" s="262">
        <f>IF('ปฏิทิน'!BH5="","",CHOOSE(WEEKDAY('ปฏิทิน'!BH5,2),"จ.","อ.","พ.","พฤ.","ศ.","ส.","อา."))</f>
        <v/>
      </c>
      <c r="BI7" s="262">
        <f>IF('ปฏิทิน'!BI5="","",CHOOSE(WEEKDAY('ปฏิทิน'!BI5,2),"จ.","อ.","พ.","พฤ.","ศ.","ส.","อา."))</f>
        <v/>
      </c>
      <c r="BJ7" s="262">
        <f>IF('ปฏิทิน'!BJ5="","",CHOOSE(WEEKDAY('ปฏิทิน'!BJ5,2),"จ.","อ.","พ.","พฤ.","ศ.","ส.","อา."))</f>
        <v/>
      </c>
      <c r="BK7" s="262">
        <f>IF('ปฏิทิน'!BK5="","",CHOOSE(WEEKDAY('ปฏิทิน'!BK5,2),"จ.","อ.","พ.","พฤ.","ศ.","ส.","อา."))</f>
        <v/>
      </c>
      <c r="BL7" s="262">
        <f>IF('ปฏิทิน'!BL5="","",CHOOSE(WEEKDAY('ปฏิทิน'!BL5,2),"จ.","อ.","พ.","พฤ.","ศ.","ส.","อา."))</f>
        <v/>
      </c>
      <c r="BM7" s="262">
        <f>IF('ปฏิทิน'!BM5="","",CHOOSE(WEEKDAY('ปฏิทิน'!BM5,2),"จ.","อ.","พ.","พฤ.","ศ.","ส.","อา."))</f>
        <v/>
      </c>
      <c r="BN7" s="262">
        <f>IF('ปฏิทิน'!BN5="","",CHOOSE(WEEKDAY('ปฏิทิน'!BN5,2),"จ.","อ.","พ.","พฤ.","ศ.","ส.","อา."))</f>
        <v/>
      </c>
      <c r="BO7" s="262">
        <f>IF('ปฏิทิน'!BO5="","",CHOOSE(WEEKDAY('ปฏิทิน'!BO5,2),"จ.","อ.","พ.","พฤ.","ศ.","ส.","อา."))</f>
        <v/>
      </c>
      <c r="BP7" s="262">
        <f>IF('ปฏิทิน'!BP5="","",CHOOSE(WEEKDAY('ปฏิทิน'!BP5,2),"จ.","อ.","พ.","พฤ.","ศ.","ส.","อา."))</f>
        <v/>
      </c>
      <c r="BQ7" s="263" t="n"/>
      <c r="BT7" s="261">
        <f>IF('ปฏิทิน'!BT5="","",CHOOSE(WEEKDAY('ปฏิทิน'!BT5,2),"จ.","อ.","พ.","พฤ.","ศ.","ส.","อา."))</f>
        <v/>
      </c>
      <c r="BU7" s="262">
        <f>IF('ปฏิทิน'!BU5="","",CHOOSE(WEEKDAY('ปฏิทิน'!BU5,2),"จ.","อ.","พ.","พฤ.","ศ.","ส.","อา."))</f>
        <v/>
      </c>
      <c r="BV7" s="262">
        <f>IF('ปฏิทิน'!BV5="","",CHOOSE(WEEKDAY('ปฏิทิน'!BV5,2),"จ.","อ.","พ.","พฤ.","ศ.","ส.","อา."))</f>
        <v/>
      </c>
      <c r="BW7" s="262">
        <f>IF('ปฏิทิน'!BW5="","",CHOOSE(WEEKDAY('ปฏิทิน'!BW5,2),"จ.","อ.","พ.","พฤ.","ศ.","ส.","อา."))</f>
        <v/>
      </c>
      <c r="BX7" s="262">
        <f>IF('ปฏิทิน'!BX5="","",CHOOSE(WEEKDAY('ปฏิทิน'!BX5,2),"จ.","อ.","พ.","พฤ.","ศ.","ส.","อา."))</f>
        <v/>
      </c>
      <c r="BY7" s="262">
        <f>IF('ปฏิทิน'!BY5="","",CHOOSE(WEEKDAY('ปฏิทิน'!BY5,2),"จ.","อ.","พ.","พฤ.","ศ.","ส.","อา."))</f>
        <v/>
      </c>
      <c r="BZ7" s="262">
        <f>IF('ปฏิทิน'!BZ5="","",CHOOSE(WEEKDAY('ปฏิทิน'!BZ5,2),"จ.","อ.","พ.","พฤ.","ศ.","ส.","อา."))</f>
        <v/>
      </c>
      <c r="CA7" s="262">
        <f>IF('ปฏิทิน'!CA5="","",CHOOSE(WEEKDAY('ปฏิทิน'!CA5,2),"จ.","อ.","พ.","พฤ.","ศ.","ส.","อา."))</f>
        <v/>
      </c>
      <c r="CB7" s="262">
        <f>IF('ปฏิทิน'!CB5="","",CHOOSE(WEEKDAY('ปฏิทิน'!CB5,2),"จ.","อ.","พ.","พฤ.","ศ.","ส.","อา."))</f>
        <v/>
      </c>
      <c r="CC7" s="262">
        <f>IF('ปฏิทิน'!CC5="","",CHOOSE(WEEKDAY('ปฏิทิน'!CC5,2),"จ.","อ.","พ.","พฤ.","ศ.","ส.","อา."))</f>
        <v/>
      </c>
      <c r="CD7" s="262">
        <f>IF('ปฏิทิน'!CD5="","",CHOOSE(WEEKDAY('ปฏิทิน'!CD5,2),"จ.","อ.","พ.","พฤ.","ศ.","ส.","อา."))</f>
        <v/>
      </c>
      <c r="CE7" s="262">
        <f>IF('ปฏิทิน'!CE5="","",CHOOSE(WEEKDAY('ปฏิทิน'!CE5,2),"จ.","อ.","พ.","พฤ.","ศ.","ส.","อา."))</f>
        <v/>
      </c>
      <c r="CF7" s="262">
        <f>IF('ปฏิทิน'!CF5="","",CHOOSE(WEEKDAY('ปฏิทิน'!CF5,2),"จ.","อ.","พ.","พฤ.","ศ.","ส.","อา."))</f>
        <v/>
      </c>
      <c r="CG7" s="262">
        <f>IF('ปฏิทิน'!CG5="","",CHOOSE(WEEKDAY('ปฏิทิน'!CG5,2),"จ.","อ.","พ.","พฤ.","ศ.","ส.","อา."))</f>
        <v/>
      </c>
      <c r="CH7" s="262">
        <f>IF('ปฏิทิน'!CH5="","",CHOOSE(WEEKDAY('ปฏิทิน'!CH5,2),"จ.","อ.","พ.","พฤ.","ศ.","ส.","อา."))</f>
        <v/>
      </c>
      <c r="CI7" s="262">
        <f>IF('ปฏิทิน'!CI5="","",CHOOSE(WEEKDAY('ปฏิทิน'!CI5,2),"จ.","อ.","พ.","พฤ.","ศ.","ส.","อา."))</f>
        <v/>
      </c>
      <c r="CJ7" s="262">
        <f>IF('ปฏิทิน'!CJ5="","",CHOOSE(WEEKDAY('ปฏิทิน'!CJ5,2),"จ.","อ.","พ.","พฤ.","ศ.","ส.","อา."))</f>
        <v/>
      </c>
      <c r="CK7" s="262">
        <f>IF('ปฏิทิน'!CK5="","",CHOOSE(WEEKDAY('ปฏิทิน'!CK5,2),"จ.","อ.","พ.","พฤ.","ศ.","ส.","อา."))</f>
        <v/>
      </c>
      <c r="CL7" s="262">
        <f>IF('ปฏิทิน'!CL5="","",CHOOSE(WEEKDAY('ปฏิทิน'!CL5,2),"จ.","อ.","พ.","พฤ.","ศ.","ส.","อา."))</f>
        <v/>
      </c>
      <c r="CM7" s="262">
        <f>IF('ปฏิทิน'!CM5="","",CHOOSE(WEEKDAY('ปฏิทิน'!CM5,2),"จ.","อ.","พ.","พฤ.","ศ.","ส.","อา."))</f>
        <v/>
      </c>
      <c r="CN7" s="262">
        <f>IF('ปฏิทิน'!CN5="","",CHOOSE(WEEKDAY('ปฏิทิน'!CN5,2),"จ.","อ.","พ.","พฤ.","ศ.","ส.","อา."))</f>
        <v/>
      </c>
      <c r="CO7" s="262">
        <f>IF('ปฏิทิน'!CO5="","",CHOOSE(WEEKDAY('ปฏิทิน'!CO5,2),"จ.","อ.","พ.","พฤ.","ศ.","ส.","อา."))</f>
        <v/>
      </c>
      <c r="CP7" s="262">
        <f>IF('ปฏิทิน'!CP5="","",CHOOSE(WEEKDAY('ปฏิทิน'!CP5,2),"จ.","อ.","พ.","พฤ.","ศ.","ส.","อา."))</f>
        <v/>
      </c>
      <c r="CQ7" s="262">
        <f>IF('ปฏิทิน'!CQ5="","",CHOOSE(WEEKDAY('ปฏิทิน'!CQ5,2),"จ.","อ.","พ.","พฤ.","ศ.","ส.","อา."))</f>
        <v/>
      </c>
      <c r="CR7" s="262">
        <f>IF('ปฏิทิน'!CR5="","",CHOOSE(WEEKDAY('ปฏิทิน'!CR5,2),"จ.","อ.","พ.","พฤ.","ศ.","ส.","อา."))</f>
        <v/>
      </c>
      <c r="CS7" s="262">
        <f>IF('ปฏิทิน'!CS5="","",CHOOSE(WEEKDAY('ปฏิทิน'!CS5,2),"จ.","อ.","พ.","พฤ.","ศ.","ส.","อา."))</f>
        <v/>
      </c>
      <c r="CT7" s="262">
        <f>IF('ปฏิทิน'!CT5="","",CHOOSE(WEEKDAY('ปฏิทิน'!CT5,2),"จ.","อ.","พ.","พฤ.","ศ.","ส.","อา."))</f>
        <v/>
      </c>
      <c r="CU7" s="262">
        <f>IF('ปฏิทิน'!CU5="","",CHOOSE(WEEKDAY('ปฏิทิน'!CU5,2),"จ.","อ.","พ.","พฤ.","ศ.","ส.","อา."))</f>
        <v/>
      </c>
      <c r="CV7" s="262">
        <f>IF('ปฏิทิน'!CV5="","",CHOOSE(WEEKDAY('ปฏิทิน'!CV5,2),"จ.","อ.","พ.","พฤ.","ศ.","ส.","อา."))</f>
        <v/>
      </c>
      <c r="CW7" s="262">
        <f>IF('ปฏิทิน'!CW5="","",CHOOSE(WEEKDAY('ปฏิทิน'!CW5,2),"จ.","อ.","พ.","พฤ.","ศ.","ส.","อา."))</f>
        <v/>
      </c>
      <c r="CX7" s="262">
        <f>IF('ปฏิทิน'!CX5="","",CHOOSE(WEEKDAY('ปฏิทิน'!CX5,2),"จ.","อ.","พ.","พฤ.","ศ.","ส.","อา."))</f>
        <v/>
      </c>
      <c r="CY7" s="263" t="n"/>
      <c r="DB7" s="261">
        <f>IF('ปฏิทิน'!DB5="","",CHOOSE(WEEKDAY('ปฏิทิน'!DB5,2),"จ.","อ.","พ.","พฤ.","ศ.","ส.","อา."))</f>
        <v/>
      </c>
      <c r="DC7" s="262">
        <f>IF('ปฏิทิน'!DC5="","",CHOOSE(WEEKDAY('ปฏิทิน'!DC5,2),"จ.","อ.","พ.","พฤ.","ศ.","ส.","อา."))</f>
        <v/>
      </c>
      <c r="DD7" s="262">
        <f>IF('ปฏิทิน'!DD5="","",CHOOSE(WEEKDAY('ปฏิทิน'!DD5,2),"จ.","อ.","พ.","พฤ.","ศ.","ส.","อา."))</f>
        <v/>
      </c>
      <c r="DE7" s="262">
        <f>IF('ปฏิทิน'!DE5="","",CHOOSE(WEEKDAY('ปฏิทิน'!DE5,2),"จ.","อ.","พ.","พฤ.","ศ.","ส.","อา."))</f>
        <v/>
      </c>
      <c r="DF7" s="262">
        <f>IF('ปฏิทิน'!DF5="","",CHOOSE(WEEKDAY('ปฏิทิน'!DF5,2),"จ.","อ.","พ.","พฤ.","ศ.","ส.","อา."))</f>
        <v/>
      </c>
      <c r="DG7" s="262">
        <f>IF('ปฏิทิน'!DG5="","",CHOOSE(WEEKDAY('ปฏิทิน'!DG5,2),"จ.","อ.","พ.","พฤ.","ศ.","ส.","อา."))</f>
        <v/>
      </c>
      <c r="DH7" s="262">
        <f>IF('ปฏิทิน'!DH5="","",CHOOSE(WEEKDAY('ปฏิทิน'!DH5,2),"จ.","อ.","พ.","พฤ.","ศ.","ส.","อา."))</f>
        <v/>
      </c>
      <c r="DI7" s="262">
        <f>IF('ปฏิทิน'!DI5="","",CHOOSE(WEEKDAY('ปฏิทิน'!DI5,2),"จ.","อ.","พ.","พฤ.","ศ.","ส.","อา."))</f>
        <v/>
      </c>
      <c r="DJ7" s="262">
        <f>IF('ปฏิทิน'!DJ5="","",CHOOSE(WEEKDAY('ปฏิทิน'!DJ5,2),"จ.","อ.","พ.","พฤ.","ศ.","ส.","อา."))</f>
        <v/>
      </c>
      <c r="DK7" s="262">
        <f>IF('ปฏิทิน'!DK5="","",CHOOSE(WEEKDAY('ปฏิทิน'!DK5,2),"จ.","อ.","พ.","พฤ.","ศ.","ส.","อา."))</f>
        <v/>
      </c>
      <c r="DL7" s="262">
        <f>IF('ปฏิทิน'!DL5="","",CHOOSE(WEEKDAY('ปฏิทิน'!DL5,2),"จ.","อ.","พ.","พฤ.","ศ.","ส.","อา."))</f>
        <v/>
      </c>
      <c r="DM7" s="262">
        <f>IF('ปฏิทิน'!DM5="","",CHOOSE(WEEKDAY('ปฏิทิน'!DM5,2),"จ.","อ.","พ.","พฤ.","ศ.","ส.","อา."))</f>
        <v/>
      </c>
      <c r="DN7" s="262">
        <f>IF('ปฏิทิน'!DN5="","",CHOOSE(WEEKDAY('ปฏิทิน'!DN5,2),"จ.","อ.","พ.","พฤ.","ศ.","ส.","อา."))</f>
        <v/>
      </c>
      <c r="DO7" s="262">
        <f>IF('ปฏิทิน'!DO5="","",CHOOSE(WEEKDAY('ปฏิทิน'!DO5,2),"จ.","อ.","พ.","พฤ.","ศ.","ส.","อา."))</f>
        <v/>
      </c>
      <c r="DP7" s="262">
        <f>IF('ปฏิทิน'!DP5="","",CHOOSE(WEEKDAY('ปฏิทิน'!DP5,2),"จ.","อ.","พ.","พฤ.","ศ.","ส.","อา."))</f>
        <v/>
      </c>
      <c r="DQ7" s="262">
        <f>IF('ปฏิทิน'!DQ5="","",CHOOSE(WEEKDAY('ปฏิทิน'!DQ5,2),"จ.","อ.","พ.","พฤ.","ศ.","ส.","อา."))</f>
        <v/>
      </c>
      <c r="DR7" s="262">
        <f>IF('ปฏิทิน'!DR5="","",CHOOSE(WEEKDAY('ปฏิทิน'!DR5,2),"จ.","อ.","พ.","พฤ.","ศ.","ส.","อา."))</f>
        <v/>
      </c>
      <c r="DS7" s="262">
        <f>IF('ปฏิทิน'!DS5="","",CHOOSE(WEEKDAY('ปฏิทิน'!DS5,2),"จ.","อ.","พ.","พฤ.","ศ.","ส.","อา."))</f>
        <v/>
      </c>
      <c r="DT7" s="262">
        <f>IF('ปฏิทิน'!DT5="","",CHOOSE(WEEKDAY('ปฏิทิน'!DT5,2),"จ.","อ.","พ.","พฤ.","ศ.","ส.","อา."))</f>
        <v/>
      </c>
      <c r="DU7" s="262">
        <f>IF('ปฏิทิน'!DU5="","",CHOOSE(WEEKDAY('ปฏิทิน'!DU5,2),"จ.","อ.","พ.","พฤ.","ศ.","ส.","อา."))</f>
        <v/>
      </c>
      <c r="DV7" s="262">
        <f>IF('ปฏิทิน'!DV5="","",CHOOSE(WEEKDAY('ปฏิทิน'!DV5,2),"จ.","อ.","พ.","พฤ.","ศ.","ส.","อา."))</f>
        <v/>
      </c>
      <c r="DW7" s="262">
        <f>IF('ปฏิทิน'!DW5="","",CHOOSE(WEEKDAY('ปฏิทิน'!DW5,2),"จ.","อ.","พ.","พฤ.","ศ.","ส.","อา."))</f>
        <v/>
      </c>
      <c r="DX7" s="262">
        <f>IF('ปฏิทิน'!DX5="","",CHOOSE(WEEKDAY('ปฏิทิน'!DX5,2),"จ.","อ.","พ.","พฤ.","ศ.","ส.","อา."))</f>
        <v/>
      </c>
      <c r="DY7" s="262">
        <f>IF('ปฏิทิน'!DY5="","",CHOOSE(WEEKDAY('ปฏิทิน'!DY5,2),"จ.","อ.","พ.","พฤ.","ศ.","ส.","อา."))</f>
        <v/>
      </c>
      <c r="DZ7" s="262">
        <f>IF('ปฏิทิน'!DZ5="","",CHOOSE(WEEKDAY('ปฏิทิน'!DZ5,2),"จ.","อ.","พ.","พฤ.","ศ.","ส.","อา."))</f>
        <v/>
      </c>
      <c r="EA7" s="262">
        <f>IF('ปฏิทิน'!EA5="","",CHOOSE(WEEKDAY('ปฏิทิน'!EA5,2),"จ.","อ.","พ.","พฤ.","ศ.","ส.","อา."))</f>
        <v/>
      </c>
      <c r="EB7" s="262">
        <f>IF('ปฏิทิน'!EB5="","",CHOOSE(WEEKDAY('ปฏิทิน'!EB5,2),"จ.","อ.","พ.","พฤ.","ศ.","ส.","อา."))</f>
        <v/>
      </c>
      <c r="EC7" s="262">
        <f>IF('ปฏิทิน'!EC5="","",CHOOSE(WEEKDAY('ปฏิทิน'!EC5,2),"จ.","อ.","พ.","พฤ.","ศ.","ส.","อา."))</f>
        <v/>
      </c>
      <c r="ED7" s="262">
        <f>IF('ปฏิทิน'!ED5="","",CHOOSE(WEEKDAY('ปฏิทิน'!ED5,2),"จ.","อ.","พ.","พฤ.","ศ.","ส.","อา."))</f>
        <v/>
      </c>
      <c r="EE7" s="262">
        <f>IF('ปฏิทิน'!EE5="","",CHOOSE(WEEKDAY('ปฏิทิน'!EE5,2),"จ.","อ.","พ.","พฤ.","ศ.","ส.","อา."))</f>
        <v/>
      </c>
      <c r="EF7" s="262">
        <f>IF('ปฏิทิน'!EF5="","",CHOOSE(WEEKDAY('ปฏิทิน'!EF5,2),"จ.","อ.","พ.","พฤ.","ศ.","ส.","อา."))</f>
        <v/>
      </c>
      <c r="EG7" s="263" t="n"/>
      <c r="EJ7" s="261">
        <f>IF('ปฏิทิน'!EJ5="","",CHOOSE(WEEKDAY('ปฏิทิน'!EJ5,2),"จ.","อ.","พ.","พฤ.","ศ.","ส.","อา."))</f>
        <v/>
      </c>
      <c r="EK7" s="262">
        <f>IF('ปฏิทิน'!EK5="","",CHOOSE(WEEKDAY('ปฏิทิน'!EK5,2),"จ.","อ.","พ.","พฤ.","ศ.","ส.","อา."))</f>
        <v/>
      </c>
      <c r="EL7" s="262">
        <f>IF('ปฏิทิน'!EL5="","",CHOOSE(WEEKDAY('ปฏิทิน'!EL5,2),"จ.","อ.","พ.","พฤ.","ศ.","ส.","อา."))</f>
        <v/>
      </c>
      <c r="EM7" s="262">
        <f>IF('ปฏิทิน'!EM5="","",CHOOSE(WEEKDAY('ปฏิทิน'!EM5,2),"จ.","อ.","พ.","พฤ.","ศ.","ส.","อา."))</f>
        <v/>
      </c>
      <c r="EN7" s="262">
        <f>IF('ปฏิทิน'!EN5="","",CHOOSE(WEEKDAY('ปฏิทิน'!EN5,2),"จ.","อ.","พ.","พฤ.","ศ.","ส.","อา."))</f>
        <v/>
      </c>
      <c r="EO7" s="262">
        <f>IF('ปฏิทิน'!EO5="","",CHOOSE(WEEKDAY('ปฏิทิน'!EO5,2),"จ.","อ.","พ.","พฤ.","ศ.","ส.","อา."))</f>
        <v/>
      </c>
      <c r="EP7" s="262">
        <f>IF('ปฏิทิน'!EP5="","",CHOOSE(WEEKDAY('ปฏิทิน'!EP5,2),"จ.","อ.","พ.","พฤ.","ศ.","ส.","อา."))</f>
        <v/>
      </c>
      <c r="EQ7" s="262">
        <f>IF('ปฏิทิน'!EQ5="","",CHOOSE(WEEKDAY('ปฏิทิน'!EQ5,2),"จ.","อ.","พ.","พฤ.","ศ.","ส.","อา."))</f>
        <v/>
      </c>
      <c r="ER7" s="262">
        <f>IF('ปฏิทิน'!ER5="","",CHOOSE(WEEKDAY('ปฏิทิน'!ER5,2),"จ.","อ.","พ.","พฤ.","ศ.","ส.","อา."))</f>
        <v/>
      </c>
      <c r="ES7" s="262">
        <f>IF('ปฏิทิน'!ES5="","",CHOOSE(WEEKDAY('ปฏิทิน'!ES5,2),"จ.","อ.","พ.","พฤ.","ศ.","ส.","อา."))</f>
        <v/>
      </c>
      <c r="ET7" s="262">
        <f>IF('ปฏิทิน'!ET5="","",CHOOSE(WEEKDAY('ปฏิทิน'!ET5,2),"จ.","อ.","พ.","พฤ.","ศ.","ส.","อา."))</f>
        <v/>
      </c>
      <c r="EU7" s="262">
        <f>IF('ปฏิทิน'!EU5="","",CHOOSE(WEEKDAY('ปฏิทิน'!EU5,2),"จ.","อ.","พ.","พฤ.","ศ.","ส.","อา."))</f>
        <v/>
      </c>
      <c r="EV7" s="262">
        <f>IF('ปฏิทิน'!EV5="","",CHOOSE(WEEKDAY('ปฏิทิน'!EV5,2),"จ.","อ.","พ.","พฤ.","ศ.","ส.","อา."))</f>
        <v/>
      </c>
      <c r="EW7" s="262">
        <f>IF('ปฏิทิน'!EW5="","",CHOOSE(WEEKDAY('ปฏิทิน'!EW5,2),"จ.","อ.","พ.","พฤ.","ศ.","ส.","อา."))</f>
        <v/>
      </c>
      <c r="EX7" s="262">
        <f>IF('ปฏิทิน'!EX5="","",CHOOSE(WEEKDAY('ปฏิทิน'!EX5,2),"จ.","อ.","พ.","พฤ.","ศ.","ส.","อา."))</f>
        <v/>
      </c>
      <c r="EY7" s="262">
        <f>IF('ปฏิทิน'!EY5="","",CHOOSE(WEEKDAY('ปฏิทิน'!EY5,2),"จ.","อ.","พ.","พฤ.","ศ.","ส.","อา."))</f>
        <v/>
      </c>
      <c r="EZ7" s="262">
        <f>IF('ปฏิทิน'!EZ5="","",CHOOSE(WEEKDAY('ปฏิทิน'!EZ5,2),"จ.","อ.","พ.","พฤ.","ศ.","ส.","อา."))</f>
        <v/>
      </c>
      <c r="FA7" s="262">
        <f>IF('ปฏิทิน'!FA5="","",CHOOSE(WEEKDAY('ปฏิทิน'!FA5,2),"จ.","อ.","พ.","พฤ.","ศ.","ส.","อา."))</f>
        <v/>
      </c>
      <c r="FB7" s="262">
        <f>IF('ปฏิทิน'!FB5="","",CHOOSE(WEEKDAY('ปฏิทิน'!FB5,2),"จ.","อ.","พ.","พฤ.","ศ.","ส.","อา."))</f>
        <v/>
      </c>
      <c r="FC7" s="262">
        <f>IF('ปฏิทิน'!FC5="","",CHOOSE(WEEKDAY('ปฏิทิน'!FC5,2),"จ.","อ.","พ.","พฤ.","ศ.","ส.","อา."))</f>
        <v/>
      </c>
      <c r="FD7" s="262">
        <f>IF('ปฏิทิน'!FD5="","",CHOOSE(WEEKDAY('ปฏิทิน'!FD5,2),"จ.","อ.","พ.","พฤ.","ศ.","ส.","อา."))</f>
        <v/>
      </c>
      <c r="FE7" s="262">
        <f>IF('ปฏิทิน'!FE5="","",CHOOSE(WEEKDAY('ปฏิทิน'!FE5,2),"จ.","อ.","พ.","พฤ.","ศ.","ส.","อา."))</f>
        <v/>
      </c>
      <c r="FF7" s="262">
        <f>IF('ปฏิทิน'!FF5="","",CHOOSE(WEEKDAY('ปฏิทิน'!FF5,2),"จ.","อ.","พ.","พฤ.","ศ.","ส.","อา."))</f>
        <v/>
      </c>
      <c r="FG7" s="262">
        <f>IF('ปฏิทิน'!FG5="","",CHOOSE(WEEKDAY('ปฏิทิน'!FG5,2),"จ.","อ.","พ.","พฤ.","ศ.","ส.","อา."))</f>
        <v/>
      </c>
      <c r="FH7" s="262">
        <f>IF('ปฏิทิน'!FH5="","",CHOOSE(WEEKDAY('ปฏิทิน'!FH5,2),"จ.","อ.","พ.","พฤ.","ศ.","ส.","อา."))</f>
        <v/>
      </c>
      <c r="FI7" s="262">
        <f>IF('ปฏิทิน'!FI5="","",CHOOSE(WEEKDAY('ปฏิทิน'!FI5,2),"จ.","อ.","พ.","พฤ.","ศ.","ส.","อา."))</f>
        <v/>
      </c>
      <c r="FJ7" s="262">
        <f>IF('ปฏิทิน'!FJ5="","",CHOOSE(WEEKDAY('ปฏิทิน'!FJ5,2),"จ.","อ.","พ.","พฤ.","ศ.","ส.","อา."))</f>
        <v/>
      </c>
      <c r="FK7" s="262">
        <f>IF('ปฏิทิน'!FK5="","",CHOOSE(WEEKDAY('ปฏิทิน'!FK5,2),"จ.","อ.","พ.","พฤ.","ศ.","ส.","อา."))</f>
        <v/>
      </c>
      <c r="FL7" s="262">
        <f>IF('ปฏิทิน'!FL5="","",CHOOSE(WEEKDAY('ปฏิทิน'!FL5,2),"จ.","อ.","พ.","พฤ.","ศ.","ส.","อา."))</f>
        <v/>
      </c>
      <c r="FM7" s="262">
        <f>IF('ปฏิทิน'!FM5="","",CHOOSE(WEEKDAY('ปฏิทิน'!FM5,2),"จ.","อ.","พ.","พฤ.","ศ.","ส.","อา."))</f>
        <v/>
      </c>
      <c r="FN7" s="262">
        <f>IF('ปฏิทิน'!FN5="","",CHOOSE(WEEKDAY('ปฏิทิน'!FN5,2),"จ.","อ.","พ.","พฤ.","ศ.","ส.","อา."))</f>
        <v/>
      </c>
      <c r="FO7" s="263" t="n"/>
    </row>
    <row r="8" ht="64" customHeight="1">
      <c r="D8" s="264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263" t="n"/>
      <c r="AL8" s="264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263" t="n"/>
      <c r="BT8" s="264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263" t="n"/>
      <c r="DB8" s="264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263" t="n"/>
      <c r="EJ8" s="264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263" t="n"/>
    </row>
    <row r="9">
      <c r="A9" s="218" t="n">
        <v>1</v>
      </c>
      <c r="B9" s="219">
        <f>'ข้อมูลนักเรียน'!T9</f>
        <v/>
      </c>
      <c r="C9" s="266">
        <f>IF(B9="","",IFERROR((COUNTIF(D9:FQ9,"ม")+COUNTIF(D9:FQ9,"ส"))/(COUNTIF(D9:FQ9,"ม")+COUNTIF(D9:FQ9,"ส")+COUNTIF(D9:FQ9,"ล")+COUNTIF(D9:FQ9,"ป")+COUNTIF(D9:FQ9,"ข")),""))</f>
        <v/>
      </c>
      <c r="D9" s="26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268">
        <f>IF($B9="","",COUNTIF(D9:AH9,"ม")+COUNTIF(D9:AH9,"ส"))</f>
        <v/>
      </c>
      <c r="AJ9" s="269">
        <f>IF($B9="","",COUNTIF(D9:AH9,"ล")+COUNTIF(D9:AH9,"ป"))</f>
        <v/>
      </c>
      <c r="AK9" s="270">
        <f>IF($B9="","",COUNTIF(D9:AH9,"ข"))</f>
        <v/>
      </c>
      <c r="AL9" s="26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268">
        <f>IF($B9="","",COUNTIF(AL9:BP9,"ม")+COUNTIF(AL9:BP9,"ส"))</f>
        <v/>
      </c>
      <c r="BR9" s="269">
        <f>IF($B9="","",COUNTIF(AL9:BP9,"ล")+COUNTIF(AL9:BP9,"ป"))</f>
        <v/>
      </c>
      <c r="BS9" s="270">
        <f>IF($B9="","",COUNTIF(AL9:BP9,"ข"))</f>
        <v/>
      </c>
      <c r="BT9" s="26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268">
        <f>IF($B9="","",COUNTIF(BT9:CX9,"ม")+COUNTIF(BT9:CX9,"ส"))</f>
        <v/>
      </c>
      <c r="CZ9" s="269">
        <f>IF($B9="","",COUNTIF(BT9:CX9,"ล")+COUNTIF(BT9:CX9,"ป"))</f>
        <v/>
      </c>
      <c r="DA9" s="270">
        <f>IF($B9="","",COUNTIF(BT9:CX9,"ข"))</f>
        <v/>
      </c>
      <c r="DB9" s="26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268">
        <f>IF($B9="","",COUNTIF(DB9:EF9,"ม")+COUNTIF(DB9:EF9,"ส"))</f>
        <v/>
      </c>
      <c r="EH9" s="269">
        <f>IF($B9="","",COUNTIF(DB9:EF9,"ล")+COUNTIF(DB9:EF9,"ป"))</f>
        <v/>
      </c>
      <c r="EI9" s="270">
        <f>IF($B9="","",COUNTIF(DB9:EF9,"ข"))</f>
        <v/>
      </c>
      <c r="EJ9" s="26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268">
        <f>IF($B9="","",COUNTIF(EJ9:FN9,"ม")+COUNTIF(EJ9:FN9,"ส"))</f>
        <v/>
      </c>
      <c r="FP9" s="269">
        <f>IF($B9="","",COUNTIF(EJ9:FN9,"ล")+COUNTIF(EJ9:FN9,"ป"))</f>
        <v/>
      </c>
      <c r="FQ9" s="270">
        <f>IF($B9="","",COUNTIF(EJ9:FN9,"ข"))</f>
        <v/>
      </c>
    </row>
    <row r="10">
      <c r="A10" s="226" t="n">
        <v>2</v>
      </c>
      <c r="B10" s="227">
        <f>'ข้อมูลนักเรียน'!T10</f>
        <v/>
      </c>
      <c r="C10" s="266">
        <f>IF(B10="","",IFERROR((COUNTIF(D10:FQ10,"ม")+COUNTIF(D10:FQ10,"ส"))/(COUNTIF(D10:FQ10,"ม")+COUNTIF(D10:FQ10,"ส")+COUNTIF(D10:FQ10,"ล")+COUNTIF(D10:FQ10,"ป")+COUNTIF(D10:FQ10,"ข")),""))</f>
        <v/>
      </c>
      <c r="D10" s="26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268">
        <f>IF($B10="","",COUNTIF(D10:AH10,"ม")+COUNTIF(D10:AH10,"ส"))</f>
        <v/>
      </c>
      <c r="AJ10" s="269">
        <f>IF($B10="","",COUNTIF(D10:AH10,"ล")+COUNTIF(D10:AH10,"ป"))</f>
        <v/>
      </c>
      <c r="AK10" s="270">
        <f>IF($B10="","",COUNTIF(D10:AH10,"ข"))</f>
        <v/>
      </c>
      <c r="AL10" s="26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268">
        <f>IF($B10="","",COUNTIF(AL10:BP10,"ม")+COUNTIF(AL10:BP10,"ส"))</f>
        <v/>
      </c>
      <c r="BR10" s="269">
        <f>IF($B10="","",COUNTIF(AL10:BP10,"ล")+COUNTIF(AL10:BP10,"ป"))</f>
        <v/>
      </c>
      <c r="BS10" s="270">
        <f>IF($B10="","",COUNTIF(AL10:BP10,"ข"))</f>
        <v/>
      </c>
      <c r="BT10" s="26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268">
        <f>IF($B10="","",COUNTIF(BT10:CX10,"ม")+COUNTIF(BT10:CX10,"ส"))</f>
        <v/>
      </c>
      <c r="CZ10" s="269">
        <f>IF($B10="","",COUNTIF(BT10:CX10,"ล")+COUNTIF(BT10:CX10,"ป"))</f>
        <v/>
      </c>
      <c r="DA10" s="270">
        <f>IF($B10="","",COUNTIF(BT10:CX10,"ข"))</f>
        <v/>
      </c>
      <c r="DB10" s="26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268">
        <f>IF($B10="","",COUNTIF(DB10:EF10,"ม")+COUNTIF(DB10:EF10,"ส"))</f>
        <v/>
      </c>
      <c r="EH10" s="269">
        <f>IF($B10="","",COUNTIF(DB10:EF10,"ล")+COUNTIF(DB10:EF10,"ป"))</f>
        <v/>
      </c>
      <c r="EI10" s="270">
        <f>IF($B10="","",COUNTIF(DB10:EF10,"ข"))</f>
        <v/>
      </c>
      <c r="EJ10" s="26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268">
        <f>IF($B10="","",COUNTIF(EJ10:FN10,"ม")+COUNTIF(EJ10:FN10,"ส"))</f>
        <v/>
      </c>
      <c r="FP10" s="269">
        <f>IF($B10="","",COUNTIF(EJ10:FN10,"ล")+COUNTIF(EJ10:FN10,"ป"))</f>
        <v/>
      </c>
      <c r="FQ10" s="270">
        <f>IF($B10="","",COUNTIF(EJ10:FN10,"ข"))</f>
        <v/>
      </c>
    </row>
    <row r="11">
      <c r="A11" s="218" t="n">
        <v>3</v>
      </c>
      <c r="B11" s="219">
        <f>'ข้อมูลนักเรียน'!T11</f>
        <v/>
      </c>
      <c r="C11" s="266">
        <f>IF(B11="","",IFERROR((COUNTIF(D11:FQ11,"ม")+COUNTIF(D11:FQ11,"ส"))/(COUNTIF(D11:FQ11,"ม")+COUNTIF(D11:FQ11,"ส")+COUNTIF(D11:FQ11,"ล")+COUNTIF(D11:FQ11,"ป")+COUNTIF(D11:FQ11,"ข")),""))</f>
        <v/>
      </c>
      <c r="D11" s="26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268">
        <f>IF($B11="","",COUNTIF(D11:AH11,"ม")+COUNTIF(D11:AH11,"ส"))</f>
        <v/>
      </c>
      <c r="AJ11" s="269">
        <f>IF($B11="","",COUNTIF(D11:AH11,"ล")+COUNTIF(D11:AH11,"ป"))</f>
        <v/>
      </c>
      <c r="AK11" s="270">
        <f>IF($B11="","",COUNTIF(D11:AH11,"ข"))</f>
        <v/>
      </c>
      <c r="AL11" s="26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268">
        <f>IF($B11="","",COUNTIF(AL11:BP11,"ม")+COUNTIF(AL11:BP11,"ส"))</f>
        <v/>
      </c>
      <c r="BR11" s="269">
        <f>IF($B11="","",COUNTIF(AL11:BP11,"ล")+COUNTIF(AL11:BP11,"ป"))</f>
        <v/>
      </c>
      <c r="BS11" s="270">
        <f>IF($B11="","",COUNTIF(AL11:BP11,"ข"))</f>
        <v/>
      </c>
      <c r="BT11" s="26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268">
        <f>IF($B11="","",COUNTIF(BT11:CX11,"ม")+COUNTIF(BT11:CX11,"ส"))</f>
        <v/>
      </c>
      <c r="CZ11" s="269">
        <f>IF($B11="","",COUNTIF(BT11:CX11,"ล")+COUNTIF(BT11:CX11,"ป"))</f>
        <v/>
      </c>
      <c r="DA11" s="270">
        <f>IF($B11="","",COUNTIF(BT11:CX11,"ข"))</f>
        <v/>
      </c>
      <c r="DB11" s="26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268">
        <f>IF($B11="","",COUNTIF(DB11:EF11,"ม")+COUNTIF(DB11:EF11,"ส"))</f>
        <v/>
      </c>
      <c r="EH11" s="269">
        <f>IF($B11="","",COUNTIF(DB11:EF11,"ล")+COUNTIF(DB11:EF11,"ป"))</f>
        <v/>
      </c>
      <c r="EI11" s="270">
        <f>IF($B11="","",COUNTIF(DB11:EF11,"ข"))</f>
        <v/>
      </c>
      <c r="EJ11" s="26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268">
        <f>IF($B11="","",COUNTIF(EJ11:FN11,"ม")+COUNTIF(EJ11:FN11,"ส"))</f>
        <v/>
      </c>
      <c r="FP11" s="269">
        <f>IF($B11="","",COUNTIF(EJ11:FN11,"ล")+COUNTIF(EJ11:FN11,"ป"))</f>
        <v/>
      </c>
      <c r="FQ11" s="270">
        <f>IF($B11="","",COUNTIF(EJ11:FN11,"ข"))</f>
        <v/>
      </c>
    </row>
    <row r="12">
      <c r="A12" s="226" t="n">
        <v>4</v>
      </c>
      <c r="B12" s="227">
        <f>'ข้อมูลนักเรียน'!T12</f>
        <v/>
      </c>
      <c r="C12" s="266">
        <f>IF(B12="","",IFERROR((COUNTIF(D12:FQ12,"ม")+COUNTIF(D12:FQ12,"ส"))/(COUNTIF(D12:FQ12,"ม")+COUNTIF(D12:FQ12,"ส")+COUNTIF(D12:FQ12,"ล")+COUNTIF(D12:FQ12,"ป")+COUNTIF(D12:FQ12,"ข")),""))</f>
        <v/>
      </c>
      <c r="D12" s="26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268">
        <f>IF($B12="","",COUNTIF(D12:AH12,"ม")+COUNTIF(D12:AH12,"ส"))</f>
        <v/>
      </c>
      <c r="AJ12" s="269">
        <f>IF($B12="","",COUNTIF(D12:AH12,"ล")+COUNTIF(D12:AH12,"ป"))</f>
        <v/>
      </c>
      <c r="AK12" s="270">
        <f>IF($B12="","",COUNTIF(D12:AH12,"ข"))</f>
        <v/>
      </c>
      <c r="AL12" s="26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268">
        <f>IF($B12="","",COUNTIF(AL12:BP12,"ม")+COUNTIF(AL12:BP12,"ส"))</f>
        <v/>
      </c>
      <c r="BR12" s="269">
        <f>IF($B12="","",COUNTIF(AL12:BP12,"ล")+COUNTIF(AL12:BP12,"ป"))</f>
        <v/>
      </c>
      <c r="BS12" s="270">
        <f>IF($B12="","",COUNTIF(AL12:BP12,"ข"))</f>
        <v/>
      </c>
      <c r="BT12" s="26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268">
        <f>IF($B12="","",COUNTIF(BT12:CX12,"ม")+COUNTIF(BT12:CX12,"ส"))</f>
        <v/>
      </c>
      <c r="CZ12" s="269">
        <f>IF($B12="","",COUNTIF(BT12:CX12,"ล")+COUNTIF(BT12:CX12,"ป"))</f>
        <v/>
      </c>
      <c r="DA12" s="270">
        <f>IF($B12="","",COUNTIF(BT12:CX12,"ข"))</f>
        <v/>
      </c>
      <c r="DB12" s="26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268">
        <f>IF($B12="","",COUNTIF(DB12:EF12,"ม")+COUNTIF(DB12:EF12,"ส"))</f>
        <v/>
      </c>
      <c r="EH12" s="269">
        <f>IF($B12="","",COUNTIF(DB12:EF12,"ล")+COUNTIF(DB12:EF12,"ป"))</f>
        <v/>
      </c>
      <c r="EI12" s="270">
        <f>IF($B12="","",COUNTIF(DB12:EF12,"ข"))</f>
        <v/>
      </c>
      <c r="EJ12" s="26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268">
        <f>IF($B12="","",COUNTIF(EJ12:FN12,"ม")+COUNTIF(EJ12:FN12,"ส"))</f>
        <v/>
      </c>
      <c r="FP12" s="269">
        <f>IF($B12="","",COUNTIF(EJ12:FN12,"ล")+COUNTIF(EJ12:FN12,"ป"))</f>
        <v/>
      </c>
      <c r="FQ12" s="270">
        <f>IF($B12="","",COUNTIF(EJ12:FN12,"ข"))</f>
        <v/>
      </c>
    </row>
    <row r="13">
      <c r="A13" s="218" t="n">
        <v>5</v>
      </c>
      <c r="B13" s="219">
        <f>'ข้อมูลนักเรียน'!T13</f>
        <v/>
      </c>
      <c r="C13" s="266">
        <f>IF(B13="","",IFERROR((COUNTIF(D13:FQ13,"ม")+COUNTIF(D13:FQ13,"ส"))/(COUNTIF(D13:FQ13,"ม")+COUNTIF(D13:FQ13,"ส")+COUNTIF(D13:FQ13,"ล")+COUNTIF(D13:FQ13,"ป")+COUNTIF(D13:FQ13,"ข")),""))</f>
        <v/>
      </c>
      <c r="D13" s="26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268">
        <f>IF($B13="","",COUNTIF(D13:AH13,"ม")+COUNTIF(D13:AH13,"ส"))</f>
        <v/>
      </c>
      <c r="AJ13" s="269">
        <f>IF($B13="","",COUNTIF(D13:AH13,"ล")+COUNTIF(D13:AH13,"ป"))</f>
        <v/>
      </c>
      <c r="AK13" s="270">
        <f>IF($B13="","",COUNTIF(D13:AH13,"ข"))</f>
        <v/>
      </c>
      <c r="AL13" s="26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268">
        <f>IF($B13="","",COUNTIF(AL13:BP13,"ม")+COUNTIF(AL13:BP13,"ส"))</f>
        <v/>
      </c>
      <c r="BR13" s="269">
        <f>IF($B13="","",COUNTIF(AL13:BP13,"ล")+COUNTIF(AL13:BP13,"ป"))</f>
        <v/>
      </c>
      <c r="BS13" s="270">
        <f>IF($B13="","",COUNTIF(AL13:BP13,"ข"))</f>
        <v/>
      </c>
      <c r="BT13" s="26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268">
        <f>IF($B13="","",COUNTIF(BT13:CX13,"ม")+COUNTIF(BT13:CX13,"ส"))</f>
        <v/>
      </c>
      <c r="CZ13" s="269">
        <f>IF($B13="","",COUNTIF(BT13:CX13,"ล")+COUNTIF(BT13:CX13,"ป"))</f>
        <v/>
      </c>
      <c r="DA13" s="270">
        <f>IF($B13="","",COUNTIF(BT13:CX13,"ข"))</f>
        <v/>
      </c>
      <c r="DB13" s="26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268">
        <f>IF($B13="","",COUNTIF(DB13:EF13,"ม")+COUNTIF(DB13:EF13,"ส"))</f>
        <v/>
      </c>
      <c r="EH13" s="269">
        <f>IF($B13="","",COUNTIF(DB13:EF13,"ล")+COUNTIF(DB13:EF13,"ป"))</f>
        <v/>
      </c>
      <c r="EI13" s="270">
        <f>IF($B13="","",COUNTIF(DB13:EF13,"ข"))</f>
        <v/>
      </c>
      <c r="EJ13" s="26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268">
        <f>IF($B13="","",COUNTIF(EJ13:FN13,"ม")+COUNTIF(EJ13:FN13,"ส"))</f>
        <v/>
      </c>
      <c r="FP13" s="269">
        <f>IF($B13="","",COUNTIF(EJ13:FN13,"ล")+COUNTIF(EJ13:FN13,"ป"))</f>
        <v/>
      </c>
      <c r="FQ13" s="270">
        <f>IF($B13="","",COUNTIF(EJ13:FN13,"ข"))</f>
        <v/>
      </c>
    </row>
    <row r="14">
      <c r="A14" s="271" t="inlineStr">
        <is>
          <t>มาเรียน (คน)</t>
        </is>
      </c>
      <c r="B14" s="184" t="n"/>
      <c r="C14" s="184" t="n"/>
      <c r="D14" s="272">
        <f>IF(D$4&lt;&gt;1,"",COUNTIF(D9:D13,"ม")+COUNTIF(D9:D13,"ส"))</f>
        <v/>
      </c>
      <c r="E14" s="273">
        <f>IF(E$4&lt;&gt;1,"",COUNTIF(E9:E13,"ม")+COUNTIF(E9:E13,"ส"))</f>
        <v/>
      </c>
      <c r="F14" s="273">
        <f>IF(F$4&lt;&gt;1,"",COUNTIF(F9:F13,"ม")+COUNTIF(F9:F13,"ส"))</f>
        <v/>
      </c>
      <c r="G14" s="273">
        <f>IF(G$4&lt;&gt;1,"",COUNTIF(G9:G13,"ม")+COUNTIF(G9:G13,"ส"))</f>
        <v/>
      </c>
      <c r="H14" s="273">
        <f>IF(H$4&lt;&gt;1,"",COUNTIF(H9:H13,"ม")+COUNTIF(H9:H13,"ส"))</f>
        <v/>
      </c>
      <c r="I14" s="273">
        <f>IF(I$4&lt;&gt;1,"",COUNTIF(I9:I13,"ม")+COUNTIF(I9:I13,"ส"))</f>
        <v/>
      </c>
      <c r="J14" s="273">
        <f>IF(J$4&lt;&gt;1,"",COUNTIF(J9:J13,"ม")+COUNTIF(J9:J13,"ส"))</f>
        <v/>
      </c>
      <c r="K14" s="273">
        <f>IF(K$4&lt;&gt;1,"",COUNTIF(K9:K13,"ม")+COUNTIF(K9:K13,"ส"))</f>
        <v/>
      </c>
      <c r="L14" s="273">
        <f>IF(L$4&lt;&gt;1,"",COUNTIF(L9:L13,"ม")+COUNTIF(L9:L13,"ส"))</f>
        <v/>
      </c>
      <c r="M14" s="273">
        <f>IF(M$4&lt;&gt;1,"",COUNTIF(M9:M13,"ม")+COUNTIF(M9:M13,"ส"))</f>
        <v/>
      </c>
      <c r="N14" s="273">
        <f>IF(N$4&lt;&gt;1,"",COUNTIF(N9:N13,"ม")+COUNTIF(N9:N13,"ส"))</f>
        <v/>
      </c>
      <c r="O14" s="273">
        <f>IF(O$4&lt;&gt;1,"",COUNTIF(O9:O13,"ม")+COUNTIF(O9:O13,"ส"))</f>
        <v/>
      </c>
      <c r="P14" s="273">
        <f>IF(P$4&lt;&gt;1,"",COUNTIF(P9:P13,"ม")+COUNTIF(P9:P13,"ส"))</f>
        <v/>
      </c>
      <c r="Q14" s="273">
        <f>IF(Q$4&lt;&gt;1,"",COUNTIF(Q9:Q13,"ม")+COUNTIF(Q9:Q13,"ส"))</f>
        <v/>
      </c>
      <c r="R14" s="273">
        <f>IF(R$4&lt;&gt;1,"",COUNTIF(R9:R13,"ม")+COUNTIF(R9:R13,"ส"))</f>
        <v/>
      </c>
      <c r="S14" s="273">
        <f>IF(S$4&lt;&gt;1,"",COUNTIF(S9:S13,"ม")+COUNTIF(S9:S13,"ส"))</f>
        <v/>
      </c>
      <c r="T14" s="273">
        <f>IF(T$4&lt;&gt;1,"",COUNTIF(T9:T13,"ม")+COUNTIF(T9:T13,"ส"))</f>
        <v/>
      </c>
      <c r="U14" s="273">
        <f>IF(U$4&lt;&gt;1,"",COUNTIF(U9:U13,"ม")+COUNTIF(U9:U13,"ส"))</f>
        <v/>
      </c>
      <c r="V14" s="273">
        <f>IF(V$4&lt;&gt;1,"",COUNTIF(V9:V13,"ม")+COUNTIF(V9:V13,"ส"))</f>
        <v/>
      </c>
      <c r="W14" s="273">
        <f>IF(W$4&lt;&gt;1,"",COUNTIF(W9:W13,"ม")+COUNTIF(W9:W13,"ส"))</f>
        <v/>
      </c>
      <c r="X14" s="273">
        <f>IF(X$4&lt;&gt;1,"",COUNTIF(X9:X13,"ม")+COUNTIF(X9:X13,"ส"))</f>
        <v/>
      </c>
      <c r="Y14" s="273">
        <f>IF(Y$4&lt;&gt;1,"",COUNTIF(Y9:Y13,"ม")+COUNTIF(Y9:Y13,"ส"))</f>
        <v/>
      </c>
      <c r="Z14" s="273">
        <f>IF(Z$4&lt;&gt;1,"",COUNTIF(Z9:Z13,"ม")+COUNTIF(Z9:Z13,"ส"))</f>
        <v/>
      </c>
      <c r="AA14" s="273">
        <f>IF(AA$4&lt;&gt;1,"",COUNTIF(AA9:AA13,"ม")+COUNTIF(AA9:AA13,"ส"))</f>
        <v/>
      </c>
      <c r="AB14" s="273">
        <f>IF(AB$4&lt;&gt;1,"",COUNTIF(AB9:AB13,"ม")+COUNTIF(AB9:AB13,"ส"))</f>
        <v/>
      </c>
      <c r="AC14" s="273">
        <f>IF(AC$4&lt;&gt;1,"",COUNTIF(AC9:AC13,"ม")+COUNTIF(AC9:AC13,"ส"))</f>
        <v/>
      </c>
      <c r="AD14" s="273">
        <f>IF(AD$4&lt;&gt;1,"",COUNTIF(AD9:AD13,"ม")+COUNTIF(AD9:AD13,"ส"))</f>
        <v/>
      </c>
      <c r="AE14" s="273">
        <f>IF(AE$4&lt;&gt;1,"",COUNTIF(AE9:AE13,"ม")+COUNTIF(AE9:AE13,"ส"))</f>
        <v/>
      </c>
      <c r="AF14" s="273">
        <f>IF(AF$4&lt;&gt;1,"",COUNTIF(AF9:AF13,"ม")+COUNTIF(AF9:AF13,"ส"))</f>
        <v/>
      </c>
      <c r="AG14" s="273">
        <f>IF(AG$4&lt;&gt;1,"",COUNTIF(AG9:AG13,"ม")+COUNTIF(AG9:AG13,"ส"))</f>
        <v/>
      </c>
      <c r="AH14" s="273">
        <f>IF(AH$4&lt;&gt;1,"",COUNTIF(AH9:AH13,"ม")+COUNTIF(AH9:AH13,"ส"))</f>
        <v/>
      </c>
      <c r="AI14" s="274">
        <f>SUM(AI9:AI13)</f>
        <v/>
      </c>
      <c r="AJ14" s="275">
        <f>SUM(AJ9:AJ13)</f>
        <v/>
      </c>
      <c r="AK14" s="276">
        <f>SUM(AK9:AK13)</f>
        <v/>
      </c>
      <c r="AL14" s="272">
        <f>IF(AL$4&lt;&gt;1,"",COUNTIF(AL9:AL13,"ม")+COUNTIF(AL9:AL13,"ส"))</f>
        <v/>
      </c>
      <c r="AM14" s="273">
        <f>IF(AM$4&lt;&gt;1,"",COUNTIF(AM9:AM13,"ม")+COUNTIF(AM9:AM13,"ส"))</f>
        <v/>
      </c>
      <c r="AN14" s="273">
        <f>IF(AN$4&lt;&gt;1,"",COUNTIF(AN9:AN13,"ม")+COUNTIF(AN9:AN13,"ส"))</f>
        <v/>
      </c>
      <c r="AO14" s="273">
        <f>IF(AO$4&lt;&gt;1,"",COUNTIF(AO9:AO13,"ม")+COUNTIF(AO9:AO13,"ส"))</f>
        <v/>
      </c>
      <c r="AP14" s="273">
        <f>IF(AP$4&lt;&gt;1,"",COUNTIF(AP9:AP13,"ม")+COUNTIF(AP9:AP13,"ส"))</f>
        <v/>
      </c>
      <c r="AQ14" s="273">
        <f>IF(AQ$4&lt;&gt;1,"",COUNTIF(AQ9:AQ13,"ม")+COUNTIF(AQ9:AQ13,"ส"))</f>
        <v/>
      </c>
      <c r="AR14" s="273">
        <f>IF(AR$4&lt;&gt;1,"",COUNTIF(AR9:AR13,"ม")+COUNTIF(AR9:AR13,"ส"))</f>
        <v/>
      </c>
      <c r="AS14" s="273">
        <f>IF(AS$4&lt;&gt;1,"",COUNTIF(AS9:AS13,"ม")+COUNTIF(AS9:AS13,"ส"))</f>
        <v/>
      </c>
      <c r="AT14" s="273">
        <f>IF(AT$4&lt;&gt;1,"",COUNTIF(AT9:AT13,"ม")+COUNTIF(AT9:AT13,"ส"))</f>
        <v/>
      </c>
      <c r="AU14" s="273">
        <f>IF(AU$4&lt;&gt;1,"",COUNTIF(AU9:AU13,"ม")+COUNTIF(AU9:AU13,"ส"))</f>
        <v/>
      </c>
      <c r="AV14" s="273">
        <f>IF(AV$4&lt;&gt;1,"",COUNTIF(AV9:AV13,"ม")+COUNTIF(AV9:AV13,"ส"))</f>
        <v/>
      </c>
      <c r="AW14" s="273">
        <f>IF(AW$4&lt;&gt;1,"",COUNTIF(AW9:AW13,"ม")+COUNTIF(AW9:AW13,"ส"))</f>
        <v/>
      </c>
      <c r="AX14" s="273">
        <f>IF(AX$4&lt;&gt;1,"",COUNTIF(AX9:AX13,"ม")+COUNTIF(AX9:AX13,"ส"))</f>
        <v/>
      </c>
      <c r="AY14" s="273">
        <f>IF(AY$4&lt;&gt;1,"",COUNTIF(AY9:AY13,"ม")+COUNTIF(AY9:AY13,"ส"))</f>
        <v/>
      </c>
      <c r="AZ14" s="273">
        <f>IF(AZ$4&lt;&gt;1,"",COUNTIF(AZ9:AZ13,"ม")+COUNTIF(AZ9:AZ13,"ส"))</f>
        <v/>
      </c>
      <c r="BA14" s="273">
        <f>IF(BA$4&lt;&gt;1,"",COUNTIF(BA9:BA13,"ม")+COUNTIF(BA9:BA13,"ส"))</f>
        <v/>
      </c>
      <c r="BB14" s="273">
        <f>IF(BB$4&lt;&gt;1,"",COUNTIF(BB9:BB13,"ม")+COUNTIF(BB9:BB13,"ส"))</f>
        <v/>
      </c>
      <c r="BC14" s="273">
        <f>IF(BC$4&lt;&gt;1,"",COUNTIF(BC9:BC13,"ม")+COUNTIF(BC9:BC13,"ส"))</f>
        <v/>
      </c>
      <c r="BD14" s="273">
        <f>IF(BD$4&lt;&gt;1,"",COUNTIF(BD9:BD13,"ม")+COUNTIF(BD9:BD13,"ส"))</f>
        <v/>
      </c>
      <c r="BE14" s="273">
        <f>IF(BE$4&lt;&gt;1,"",COUNTIF(BE9:BE13,"ม")+COUNTIF(BE9:BE13,"ส"))</f>
        <v/>
      </c>
      <c r="BF14" s="273">
        <f>IF(BF$4&lt;&gt;1,"",COUNTIF(BF9:BF13,"ม")+COUNTIF(BF9:BF13,"ส"))</f>
        <v/>
      </c>
      <c r="BG14" s="273">
        <f>IF(BG$4&lt;&gt;1,"",COUNTIF(BG9:BG13,"ม")+COUNTIF(BG9:BG13,"ส"))</f>
        <v/>
      </c>
      <c r="BH14" s="273">
        <f>IF(BH$4&lt;&gt;1,"",COUNTIF(BH9:BH13,"ม")+COUNTIF(BH9:BH13,"ส"))</f>
        <v/>
      </c>
      <c r="BI14" s="273">
        <f>IF(BI$4&lt;&gt;1,"",COUNTIF(BI9:BI13,"ม")+COUNTIF(BI9:BI13,"ส"))</f>
        <v/>
      </c>
      <c r="BJ14" s="273">
        <f>IF(BJ$4&lt;&gt;1,"",COUNTIF(BJ9:BJ13,"ม")+COUNTIF(BJ9:BJ13,"ส"))</f>
        <v/>
      </c>
      <c r="BK14" s="273">
        <f>IF(BK$4&lt;&gt;1,"",COUNTIF(BK9:BK13,"ม")+COUNTIF(BK9:BK13,"ส"))</f>
        <v/>
      </c>
      <c r="BL14" s="273">
        <f>IF(BL$4&lt;&gt;1,"",COUNTIF(BL9:BL13,"ม")+COUNTIF(BL9:BL13,"ส"))</f>
        <v/>
      </c>
      <c r="BM14" s="273">
        <f>IF(BM$4&lt;&gt;1,"",COUNTIF(BM9:BM13,"ม")+COUNTIF(BM9:BM13,"ส"))</f>
        <v/>
      </c>
      <c r="BN14" s="273">
        <f>IF(BN$4&lt;&gt;1,"",COUNTIF(BN9:BN13,"ม")+COUNTIF(BN9:BN13,"ส"))</f>
        <v/>
      </c>
      <c r="BO14" s="273">
        <f>IF(BO$4&lt;&gt;1,"",COUNTIF(BO9:BO13,"ม")+COUNTIF(BO9:BO13,"ส"))</f>
        <v/>
      </c>
      <c r="BP14" s="273">
        <f>IF(BP$4&lt;&gt;1,"",COUNTIF(BP9:BP13,"ม")+COUNTIF(BP9:BP13,"ส"))</f>
        <v/>
      </c>
      <c r="BQ14" s="274">
        <f>SUM(BQ9:BQ13)</f>
        <v/>
      </c>
      <c r="BR14" s="275">
        <f>SUM(BR9:BR13)</f>
        <v/>
      </c>
      <c r="BS14" s="276">
        <f>SUM(BS9:BS13)</f>
        <v/>
      </c>
      <c r="BT14" s="272">
        <f>IF(BT$4&lt;&gt;1,"",COUNTIF(BT9:BT13,"ม")+COUNTIF(BT9:BT13,"ส"))</f>
        <v/>
      </c>
      <c r="BU14" s="273">
        <f>IF(BU$4&lt;&gt;1,"",COUNTIF(BU9:BU13,"ม")+COUNTIF(BU9:BU13,"ส"))</f>
        <v/>
      </c>
      <c r="BV14" s="273">
        <f>IF(BV$4&lt;&gt;1,"",COUNTIF(BV9:BV13,"ม")+COUNTIF(BV9:BV13,"ส"))</f>
        <v/>
      </c>
      <c r="BW14" s="273">
        <f>IF(BW$4&lt;&gt;1,"",COUNTIF(BW9:BW13,"ม")+COUNTIF(BW9:BW13,"ส"))</f>
        <v/>
      </c>
      <c r="BX14" s="273">
        <f>IF(BX$4&lt;&gt;1,"",COUNTIF(BX9:BX13,"ม")+COUNTIF(BX9:BX13,"ส"))</f>
        <v/>
      </c>
      <c r="BY14" s="273">
        <f>IF(BY$4&lt;&gt;1,"",COUNTIF(BY9:BY13,"ม")+COUNTIF(BY9:BY13,"ส"))</f>
        <v/>
      </c>
      <c r="BZ14" s="273">
        <f>IF(BZ$4&lt;&gt;1,"",COUNTIF(BZ9:BZ13,"ม")+COUNTIF(BZ9:BZ13,"ส"))</f>
        <v/>
      </c>
      <c r="CA14" s="273">
        <f>IF(CA$4&lt;&gt;1,"",COUNTIF(CA9:CA13,"ม")+COUNTIF(CA9:CA13,"ส"))</f>
        <v/>
      </c>
      <c r="CB14" s="273">
        <f>IF(CB$4&lt;&gt;1,"",COUNTIF(CB9:CB13,"ม")+COUNTIF(CB9:CB13,"ส"))</f>
        <v/>
      </c>
      <c r="CC14" s="273">
        <f>IF(CC$4&lt;&gt;1,"",COUNTIF(CC9:CC13,"ม")+COUNTIF(CC9:CC13,"ส"))</f>
        <v/>
      </c>
      <c r="CD14" s="273">
        <f>IF(CD$4&lt;&gt;1,"",COUNTIF(CD9:CD13,"ม")+COUNTIF(CD9:CD13,"ส"))</f>
        <v/>
      </c>
      <c r="CE14" s="273">
        <f>IF(CE$4&lt;&gt;1,"",COUNTIF(CE9:CE13,"ม")+COUNTIF(CE9:CE13,"ส"))</f>
        <v/>
      </c>
      <c r="CF14" s="273">
        <f>IF(CF$4&lt;&gt;1,"",COUNTIF(CF9:CF13,"ม")+COUNTIF(CF9:CF13,"ส"))</f>
        <v/>
      </c>
      <c r="CG14" s="273">
        <f>IF(CG$4&lt;&gt;1,"",COUNTIF(CG9:CG13,"ม")+COUNTIF(CG9:CG13,"ส"))</f>
        <v/>
      </c>
      <c r="CH14" s="273">
        <f>IF(CH$4&lt;&gt;1,"",COUNTIF(CH9:CH13,"ม")+COUNTIF(CH9:CH13,"ส"))</f>
        <v/>
      </c>
      <c r="CI14" s="273">
        <f>IF(CI$4&lt;&gt;1,"",COUNTIF(CI9:CI13,"ม")+COUNTIF(CI9:CI13,"ส"))</f>
        <v/>
      </c>
      <c r="CJ14" s="273">
        <f>IF(CJ$4&lt;&gt;1,"",COUNTIF(CJ9:CJ13,"ม")+COUNTIF(CJ9:CJ13,"ส"))</f>
        <v/>
      </c>
      <c r="CK14" s="273">
        <f>IF(CK$4&lt;&gt;1,"",COUNTIF(CK9:CK13,"ม")+COUNTIF(CK9:CK13,"ส"))</f>
        <v/>
      </c>
      <c r="CL14" s="273">
        <f>IF(CL$4&lt;&gt;1,"",COUNTIF(CL9:CL13,"ม")+COUNTIF(CL9:CL13,"ส"))</f>
        <v/>
      </c>
      <c r="CM14" s="273">
        <f>IF(CM$4&lt;&gt;1,"",COUNTIF(CM9:CM13,"ม")+COUNTIF(CM9:CM13,"ส"))</f>
        <v/>
      </c>
      <c r="CN14" s="273">
        <f>IF(CN$4&lt;&gt;1,"",COUNTIF(CN9:CN13,"ม")+COUNTIF(CN9:CN13,"ส"))</f>
        <v/>
      </c>
      <c r="CO14" s="273">
        <f>IF(CO$4&lt;&gt;1,"",COUNTIF(CO9:CO13,"ม")+COUNTIF(CO9:CO13,"ส"))</f>
        <v/>
      </c>
      <c r="CP14" s="273">
        <f>IF(CP$4&lt;&gt;1,"",COUNTIF(CP9:CP13,"ม")+COUNTIF(CP9:CP13,"ส"))</f>
        <v/>
      </c>
      <c r="CQ14" s="273">
        <f>IF(CQ$4&lt;&gt;1,"",COUNTIF(CQ9:CQ13,"ม")+COUNTIF(CQ9:CQ13,"ส"))</f>
        <v/>
      </c>
      <c r="CR14" s="273">
        <f>IF(CR$4&lt;&gt;1,"",COUNTIF(CR9:CR13,"ม")+COUNTIF(CR9:CR13,"ส"))</f>
        <v/>
      </c>
      <c r="CS14" s="273">
        <f>IF(CS$4&lt;&gt;1,"",COUNTIF(CS9:CS13,"ม")+COUNTIF(CS9:CS13,"ส"))</f>
        <v/>
      </c>
      <c r="CT14" s="273">
        <f>IF(CT$4&lt;&gt;1,"",COUNTIF(CT9:CT13,"ม")+COUNTIF(CT9:CT13,"ส"))</f>
        <v/>
      </c>
      <c r="CU14" s="273">
        <f>IF(CU$4&lt;&gt;1,"",COUNTIF(CU9:CU13,"ม")+COUNTIF(CU9:CU13,"ส"))</f>
        <v/>
      </c>
      <c r="CV14" s="273">
        <f>IF(CV$4&lt;&gt;1,"",COUNTIF(CV9:CV13,"ม")+COUNTIF(CV9:CV13,"ส"))</f>
        <v/>
      </c>
      <c r="CW14" s="273">
        <f>IF(CW$4&lt;&gt;1,"",COUNTIF(CW9:CW13,"ม")+COUNTIF(CW9:CW13,"ส"))</f>
        <v/>
      </c>
      <c r="CX14" s="273">
        <f>IF(CX$4&lt;&gt;1,"",COUNTIF(CX9:CX13,"ม")+COUNTIF(CX9:CX13,"ส"))</f>
        <v/>
      </c>
      <c r="CY14" s="274">
        <f>SUM(CY9:CY13)</f>
        <v/>
      </c>
      <c r="CZ14" s="275">
        <f>SUM(CZ9:CZ13)</f>
        <v/>
      </c>
      <c r="DA14" s="276">
        <f>SUM(DA9:DA13)</f>
        <v/>
      </c>
      <c r="DB14" s="272">
        <f>IF(DB$4&lt;&gt;1,"",COUNTIF(DB9:DB13,"ม")+COUNTIF(DB9:DB13,"ส"))</f>
        <v/>
      </c>
      <c r="DC14" s="273">
        <f>IF(DC$4&lt;&gt;1,"",COUNTIF(DC9:DC13,"ม")+COUNTIF(DC9:DC13,"ส"))</f>
        <v/>
      </c>
      <c r="DD14" s="273">
        <f>IF(DD$4&lt;&gt;1,"",COUNTIF(DD9:DD13,"ม")+COUNTIF(DD9:DD13,"ส"))</f>
        <v/>
      </c>
      <c r="DE14" s="273">
        <f>IF(DE$4&lt;&gt;1,"",COUNTIF(DE9:DE13,"ม")+COUNTIF(DE9:DE13,"ส"))</f>
        <v/>
      </c>
      <c r="DF14" s="273">
        <f>IF(DF$4&lt;&gt;1,"",COUNTIF(DF9:DF13,"ม")+COUNTIF(DF9:DF13,"ส"))</f>
        <v/>
      </c>
      <c r="DG14" s="273">
        <f>IF(DG$4&lt;&gt;1,"",COUNTIF(DG9:DG13,"ม")+COUNTIF(DG9:DG13,"ส"))</f>
        <v/>
      </c>
      <c r="DH14" s="273">
        <f>IF(DH$4&lt;&gt;1,"",COUNTIF(DH9:DH13,"ม")+COUNTIF(DH9:DH13,"ส"))</f>
        <v/>
      </c>
      <c r="DI14" s="273">
        <f>IF(DI$4&lt;&gt;1,"",COUNTIF(DI9:DI13,"ม")+COUNTIF(DI9:DI13,"ส"))</f>
        <v/>
      </c>
      <c r="DJ14" s="273">
        <f>IF(DJ$4&lt;&gt;1,"",COUNTIF(DJ9:DJ13,"ม")+COUNTIF(DJ9:DJ13,"ส"))</f>
        <v/>
      </c>
      <c r="DK14" s="273">
        <f>IF(DK$4&lt;&gt;1,"",COUNTIF(DK9:DK13,"ม")+COUNTIF(DK9:DK13,"ส"))</f>
        <v/>
      </c>
      <c r="DL14" s="273">
        <f>IF(DL$4&lt;&gt;1,"",COUNTIF(DL9:DL13,"ม")+COUNTIF(DL9:DL13,"ส"))</f>
        <v/>
      </c>
      <c r="DM14" s="273">
        <f>IF(DM$4&lt;&gt;1,"",COUNTIF(DM9:DM13,"ม")+COUNTIF(DM9:DM13,"ส"))</f>
        <v/>
      </c>
      <c r="DN14" s="273">
        <f>IF(DN$4&lt;&gt;1,"",COUNTIF(DN9:DN13,"ม")+COUNTIF(DN9:DN13,"ส"))</f>
        <v/>
      </c>
      <c r="DO14" s="273">
        <f>IF(DO$4&lt;&gt;1,"",COUNTIF(DO9:DO13,"ม")+COUNTIF(DO9:DO13,"ส"))</f>
        <v/>
      </c>
      <c r="DP14" s="273">
        <f>IF(DP$4&lt;&gt;1,"",COUNTIF(DP9:DP13,"ม")+COUNTIF(DP9:DP13,"ส"))</f>
        <v/>
      </c>
      <c r="DQ14" s="273">
        <f>IF(DQ$4&lt;&gt;1,"",COUNTIF(DQ9:DQ13,"ม")+COUNTIF(DQ9:DQ13,"ส"))</f>
        <v/>
      </c>
      <c r="DR14" s="273">
        <f>IF(DR$4&lt;&gt;1,"",COUNTIF(DR9:DR13,"ม")+COUNTIF(DR9:DR13,"ส"))</f>
        <v/>
      </c>
      <c r="DS14" s="273">
        <f>IF(DS$4&lt;&gt;1,"",COUNTIF(DS9:DS13,"ม")+COUNTIF(DS9:DS13,"ส"))</f>
        <v/>
      </c>
      <c r="DT14" s="273">
        <f>IF(DT$4&lt;&gt;1,"",COUNTIF(DT9:DT13,"ม")+COUNTIF(DT9:DT13,"ส"))</f>
        <v/>
      </c>
      <c r="DU14" s="273">
        <f>IF(DU$4&lt;&gt;1,"",COUNTIF(DU9:DU13,"ม")+COUNTIF(DU9:DU13,"ส"))</f>
        <v/>
      </c>
      <c r="DV14" s="273">
        <f>IF(DV$4&lt;&gt;1,"",COUNTIF(DV9:DV13,"ม")+COUNTIF(DV9:DV13,"ส"))</f>
        <v/>
      </c>
      <c r="DW14" s="273">
        <f>IF(DW$4&lt;&gt;1,"",COUNTIF(DW9:DW13,"ม")+COUNTIF(DW9:DW13,"ส"))</f>
        <v/>
      </c>
      <c r="DX14" s="273">
        <f>IF(DX$4&lt;&gt;1,"",COUNTIF(DX9:DX13,"ม")+COUNTIF(DX9:DX13,"ส"))</f>
        <v/>
      </c>
      <c r="DY14" s="273">
        <f>IF(DY$4&lt;&gt;1,"",COUNTIF(DY9:DY13,"ม")+COUNTIF(DY9:DY13,"ส"))</f>
        <v/>
      </c>
      <c r="DZ14" s="273">
        <f>IF(DZ$4&lt;&gt;1,"",COUNTIF(DZ9:DZ13,"ม")+COUNTIF(DZ9:DZ13,"ส"))</f>
        <v/>
      </c>
      <c r="EA14" s="273">
        <f>IF(EA$4&lt;&gt;1,"",COUNTIF(EA9:EA13,"ม")+COUNTIF(EA9:EA13,"ส"))</f>
        <v/>
      </c>
      <c r="EB14" s="273">
        <f>IF(EB$4&lt;&gt;1,"",COUNTIF(EB9:EB13,"ม")+COUNTIF(EB9:EB13,"ส"))</f>
        <v/>
      </c>
      <c r="EC14" s="273">
        <f>IF(EC$4&lt;&gt;1,"",COUNTIF(EC9:EC13,"ม")+COUNTIF(EC9:EC13,"ส"))</f>
        <v/>
      </c>
      <c r="ED14" s="273">
        <f>IF(ED$4&lt;&gt;1,"",COUNTIF(ED9:ED13,"ม")+COUNTIF(ED9:ED13,"ส"))</f>
        <v/>
      </c>
      <c r="EE14" s="273">
        <f>IF(EE$4&lt;&gt;1,"",COUNTIF(EE9:EE13,"ม")+COUNTIF(EE9:EE13,"ส"))</f>
        <v/>
      </c>
      <c r="EF14" s="273">
        <f>IF(EF$4&lt;&gt;1,"",COUNTIF(EF9:EF13,"ม")+COUNTIF(EF9:EF13,"ส"))</f>
        <v/>
      </c>
      <c r="EG14" s="274">
        <f>SUM(EG9:EG13)</f>
        <v/>
      </c>
      <c r="EH14" s="275">
        <f>SUM(EH9:EH13)</f>
        <v/>
      </c>
      <c r="EI14" s="276">
        <f>SUM(EI9:EI13)</f>
        <v/>
      </c>
      <c r="EJ14" s="272">
        <f>IF(EJ$4&lt;&gt;1,"",COUNTIF(EJ9:EJ13,"ม")+COUNTIF(EJ9:EJ13,"ส"))</f>
        <v/>
      </c>
      <c r="EK14" s="273">
        <f>IF(EK$4&lt;&gt;1,"",COUNTIF(EK9:EK13,"ม")+COUNTIF(EK9:EK13,"ส"))</f>
        <v/>
      </c>
      <c r="EL14" s="273">
        <f>IF(EL$4&lt;&gt;1,"",COUNTIF(EL9:EL13,"ม")+COUNTIF(EL9:EL13,"ส"))</f>
        <v/>
      </c>
      <c r="EM14" s="273">
        <f>IF(EM$4&lt;&gt;1,"",COUNTIF(EM9:EM13,"ม")+COUNTIF(EM9:EM13,"ส"))</f>
        <v/>
      </c>
      <c r="EN14" s="273">
        <f>IF(EN$4&lt;&gt;1,"",COUNTIF(EN9:EN13,"ม")+COUNTIF(EN9:EN13,"ส"))</f>
        <v/>
      </c>
      <c r="EO14" s="273">
        <f>IF(EO$4&lt;&gt;1,"",COUNTIF(EO9:EO13,"ม")+COUNTIF(EO9:EO13,"ส"))</f>
        <v/>
      </c>
      <c r="EP14" s="273">
        <f>IF(EP$4&lt;&gt;1,"",COUNTIF(EP9:EP13,"ม")+COUNTIF(EP9:EP13,"ส"))</f>
        <v/>
      </c>
      <c r="EQ14" s="273">
        <f>IF(EQ$4&lt;&gt;1,"",COUNTIF(EQ9:EQ13,"ม")+COUNTIF(EQ9:EQ13,"ส"))</f>
        <v/>
      </c>
      <c r="ER14" s="273">
        <f>IF(ER$4&lt;&gt;1,"",COUNTIF(ER9:ER13,"ม")+COUNTIF(ER9:ER13,"ส"))</f>
        <v/>
      </c>
      <c r="ES14" s="273">
        <f>IF(ES$4&lt;&gt;1,"",COUNTIF(ES9:ES13,"ม")+COUNTIF(ES9:ES13,"ส"))</f>
        <v/>
      </c>
      <c r="ET14" s="273">
        <f>IF(ET$4&lt;&gt;1,"",COUNTIF(ET9:ET13,"ม")+COUNTIF(ET9:ET13,"ส"))</f>
        <v/>
      </c>
      <c r="EU14" s="273">
        <f>IF(EU$4&lt;&gt;1,"",COUNTIF(EU9:EU13,"ม")+COUNTIF(EU9:EU13,"ส"))</f>
        <v/>
      </c>
      <c r="EV14" s="273">
        <f>IF(EV$4&lt;&gt;1,"",COUNTIF(EV9:EV13,"ม")+COUNTIF(EV9:EV13,"ส"))</f>
        <v/>
      </c>
      <c r="EW14" s="273">
        <f>IF(EW$4&lt;&gt;1,"",COUNTIF(EW9:EW13,"ม")+COUNTIF(EW9:EW13,"ส"))</f>
        <v/>
      </c>
      <c r="EX14" s="273">
        <f>IF(EX$4&lt;&gt;1,"",COUNTIF(EX9:EX13,"ม")+COUNTIF(EX9:EX13,"ส"))</f>
        <v/>
      </c>
      <c r="EY14" s="273">
        <f>IF(EY$4&lt;&gt;1,"",COUNTIF(EY9:EY13,"ม")+COUNTIF(EY9:EY13,"ส"))</f>
        <v/>
      </c>
      <c r="EZ14" s="273">
        <f>IF(EZ$4&lt;&gt;1,"",COUNTIF(EZ9:EZ13,"ม")+COUNTIF(EZ9:EZ13,"ส"))</f>
        <v/>
      </c>
      <c r="FA14" s="273">
        <f>IF(FA$4&lt;&gt;1,"",COUNTIF(FA9:FA13,"ม")+COUNTIF(FA9:FA13,"ส"))</f>
        <v/>
      </c>
      <c r="FB14" s="273">
        <f>IF(FB$4&lt;&gt;1,"",COUNTIF(FB9:FB13,"ม")+COUNTIF(FB9:FB13,"ส"))</f>
        <v/>
      </c>
      <c r="FC14" s="273">
        <f>IF(FC$4&lt;&gt;1,"",COUNTIF(FC9:FC13,"ม")+COUNTIF(FC9:FC13,"ส"))</f>
        <v/>
      </c>
      <c r="FD14" s="273">
        <f>IF(FD$4&lt;&gt;1,"",COUNTIF(FD9:FD13,"ม")+COUNTIF(FD9:FD13,"ส"))</f>
        <v/>
      </c>
      <c r="FE14" s="273">
        <f>IF(FE$4&lt;&gt;1,"",COUNTIF(FE9:FE13,"ม")+COUNTIF(FE9:FE13,"ส"))</f>
        <v/>
      </c>
      <c r="FF14" s="273">
        <f>IF(FF$4&lt;&gt;1,"",COUNTIF(FF9:FF13,"ม")+COUNTIF(FF9:FF13,"ส"))</f>
        <v/>
      </c>
      <c r="FG14" s="273">
        <f>IF(FG$4&lt;&gt;1,"",COUNTIF(FG9:FG13,"ม")+COUNTIF(FG9:FG13,"ส"))</f>
        <v/>
      </c>
      <c r="FH14" s="273">
        <f>IF(FH$4&lt;&gt;1,"",COUNTIF(FH9:FH13,"ม")+COUNTIF(FH9:FH13,"ส"))</f>
        <v/>
      </c>
      <c r="FI14" s="273">
        <f>IF(FI$4&lt;&gt;1,"",COUNTIF(FI9:FI13,"ม")+COUNTIF(FI9:FI13,"ส"))</f>
        <v/>
      </c>
      <c r="FJ14" s="273">
        <f>IF(FJ$4&lt;&gt;1,"",COUNTIF(FJ9:FJ13,"ม")+COUNTIF(FJ9:FJ13,"ส"))</f>
        <v/>
      </c>
      <c r="FK14" s="273">
        <f>IF(FK$4&lt;&gt;1,"",COUNTIF(FK9:FK13,"ม")+COUNTIF(FK9:FK13,"ส"))</f>
        <v/>
      </c>
      <c r="FL14" s="273">
        <f>IF(FL$4&lt;&gt;1,"",COUNTIF(FL9:FL13,"ม")+COUNTIF(FL9:FL13,"ส"))</f>
        <v/>
      </c>
      <c r="FM14" s="273">
        <f>IF(FM$4&lt;&gt;1,"",COUNTIF(FM9:FM13,"ม")+COUNTIF(FM9:FM13,"ส"))</f>
        <v/>
      </c>
      <c r="FN14" s="273">
        <f>IF(FN$4&lt;&gt;1,"",COUNTIF(FN9:FN13,"ม")+COUNTIF(FN9:FN13,"ส"))</f>
        <v/>
      </c>
      <c r="FO14" s="274">
        <f>SUM(FO9:FO13)</f>
        <v/>
      </c>
      <c r="FP14" s="275">
        <f>SUM(FP9:FP13)</f>
        <v/>
      </c>
      <c r="FQ14" s="276">
        <f>SUM(FQ9:FQ13)</f>
        <v/>
      </c>
    </row>
    <row r="15">
      <c r="A15" s="271" t="inlineStr">
        <is>
          <t>ลา / ป่วย (คน)</t>
        </is>
      </c>
      <c r="B15" s="184" t="n"/>
      <c r="C15" s="184" t="n"/>
      <c r="D15" s="272">
        <f>IF(D$4&lt;&gt;1,"",COUNTIF(D9:D13,"ล")+COUNTIF(D9:D13,"ป"))</f>
        <v/>
      </c>
      <c r="E15" s="273">
        <f>IF(E$4&lt;&gt;1,"",COUNTIF(E9:E13,"ล")+COUNTIF(E9:E13,"ป"))</f>
        <v/>
      </c>
      <c r="F15" s="273">
        <f>IF(F$4&lt;&gt;1,"",COUNTIF(F9:F13,"ล")+COUNTIF(F9:F13,"ป"))</f>
        <v/>
      </c>
      <c r="G15" s="273">
        <f>IF(G$4&lt;&gt;1,"",COUNTIF(G9:G13,"ล")+COUNTIF(G9:G13,"ป"))</f>
        <v/>
      </c>
      <c r="H15" s="273">
        <f>IF(H$4&lt;&gt;1,"",COUNTIF(H9:H13,"ล")+COUNTIF(H9:H13,"ป"))</f>
        <v/>
      </c>
      <c r="I15" s="273">
        <f>IF(I$4&lt;&gt;1,"",COUNTIF(I9:I13,"ล")+COUNTIF(I9:I13,"ป"))</f>
        <v/>
      </c>
      <c r="J15" s="273">
        <f>IF(J$4&lt;&gt;1,"",COUNTIF(J9:J13,"ล")+COUNTIF(J9:J13,"ป"))</f>
        <v/>
      </c>
      <c r="K15" s="273">
        <f>IF(K$4&lt;&gt;1,"",COUNTIF(K9:K13,"ล")+COUNTIF(K9:K13,"ป"))</f>
        <v/>
      </c>
      <c r="L15" s="273">
        <f>IF(L$4&lt;&gt;1,"",COUNTIF(L9:L13,"ล")+COUNTIF(L9:L13,"ป"))</f>
        <v/>
      </c>
      <c r="M15" s="273">
        <f>IF(M$4&lt;&gt;1,"",COUNTIF(M9:M13,"ล")+COUNTIF(M9:M13,"ป"))</f>
        <v/>
      </c>
      <c r="N15" s="273">
        <f>IF(N$4&lt;&gt;1,"",COUNTIF(N9:N13,"ล")+COUNTIF(N9:N13,"ป"))</f>
        <v/>
      </c>
      <c r="O15" s="273">
        <f>IF(O$4&lt;&gt;1,"",COUNTIF(O9:O13,"ล")+COUNTIF(O9:O13,"ป"))</f>
        <v/>
      </c>
      <c r="P15" s="273">
        <f>IF(P$4&lt;&gt;1,"",COUNTIF(P9:P13,"ล")+COUNTIF(P9:P13,"ป"))</f>
        <v/>
      </c>
      <c r="Q15" s="273">
        <f>IF(Q$4&lt;&gt;1,"",COUNTIF(Q9:Q13,"ล")+COUNTIF(Q9:Q13,"ป"))</f>
        <v/>
      </c>
      <c r="R15" s="273">
        <f>IF(R$4&lt;&gt;1,"",COUNTIF(R9:R13,"ล")+COUNTIF(R9:R13,"ป"))</f>
        <v/>
      </c>
      <c r="S15" s="273">
        <f>IF(S$4&lt;&gt;1,"",COUNTIF(S9:S13,"ล")+COUNTIF(S9:S13,"ป"))</f>
        <v/>
      </c>
      <c r="T15" s="273">
        <f>IF(T$4&lt;&gt;1,"",COUNTIF(T9:T13,"ล")+COUNTIF(T9:T13,"ป"))</f>
        <v/>
      </c>
      <c r="U15" s="273">
        <f>IF(U$4&lt;&gt;1,"",COUNTIF(U9:U13,"ล")+COUNTIF(U9:U13,"ป"))</f>
        <v/>
      </c>
      <c r="V15" s="273">
        <f>IF(V$4&lt;&gt;1,"",COUNTIF(V9:V13,"ล")+COUNTIF(V9:V13,"ป"))</f>
        <v/>
      </c>
      <c r="W15" s="273">
        <f>IF(W$4&lt;&gt;1,"",COUNTIF(W9:W13,"ล")+COUNTIF(W9:W13,"ป"))</f>
        <v/>
      </c>
      <c r="X15" s="273">
        <f>IF(X$4&lt;&gt;1,"",COUNTIF(X9:X13,"ล")+COUNTIF(X9:X13,"ป"))</f>
        <v/>
      </c>
      <c r="Y15" s="273">
        <f>IF(Y$4&lt;&gt;1,"",COUNTIF(Y9:Y13,"ล")+COUNTIF(Y9:Y13,"ป"))</f>
        <v/>
      </c>
      <c r="Z15" s="273">
        <f>IF(Z$4&lt;&gt;1,"",COUNTIF(Z9:Z13,"ล")+COUNTIF(Z9:Z13,"ป"))</f>
        <v/>
      </c>
      <c r="AA15" s="273">
        <f>IF(AA$4&lt;&gt;1,"",COUNTIF(AA9:AA13,"ล")+COUNTIF(AA9:AA13,"ป"))</f>
        <v/>
      </c>
      <c r="AB15" s="273">
        <f>IF(AB$4&lt;&gt;1,"",COUNTIF(AB9:AB13,"ล")+COUNTIF(AB9:AB13,"ป"))</f>
        <v/>
      </c>
      <c r="AC15" s="273">
        <f>IF(AC$4&lt;&gt;1,"",COUNTIF(AC9:AC13,"ล")+COUNTIF(AC9:AC13,"ป"))</f>
        <v/>
      </c>
      <c r="AD15" s="273">
        <f>IF(AD$4&lt;&gt;1,"",COUNTIF(AD9:AD13,"ล")+COUNTIF(AD9:AD13,"ป"))</f>
        <v/>
      </c>
      <c r="AE15" s="273">
        <f>IF(AE$4&lt;&gt;1,"",COUNTIF(AE9:AE13,"ล")+COUNTIF(AE9:AE13,"ป"))</f>
        <v/>
      </c>
      <c r="AF15" s="273">
        <f>IF(AF$4&lt;&gt;1,"",COUNTIF(AF9:AF13,"ล")+COUNTIF(AF9:AF13,"ป"))</f>
        <v/>
      </c>
      <c r="AG15" s="273">
        <f>IF(AG$4&lt;&gt;1,"",COUNTIF(AG9:AG13,"ล")+COUNTIF(AG9:AG13,"ป"))</f>
        <v/>
      </c>
      <c r="AH15" s="273">
        <f>IF(AH$4&lt;&gt;1,"",COUNTIF(AH9:AH13,"ล")+COUNTIF(AH9:AH13,"ป"))</f>
        <v/>
      </c>
      <c r="AI15" s="274" t="n"/>
      <c r="AJ15" s="275" t="n"/>
      <c r="AK15" s="276" t="n"/>
      <c r="AL15" s="272">
        <f>IF(AL$4&lt;&gt;1,"",COUNTIF(AL9:AL13,"ล")+COUNTIF(AL9:AL13,"ป"))</f>
        <v/>
      </c>
      <c r="AM15" s="273">
        <f>IF(AM$4&lt;&gt;1,"",COUNTIF(AM9:AM13,"ล")+COUNTIF(AM9:AM13,"ป"))</f>
        <v/>
      </c>
      <c r="AN15" s="273">
        <f>IF(AN$4&lt;&gt;1,"",COUNTIF(AN9:AN13,"ล")+COUNTIF(AN9:AN13,"ป"))</f>
        <v/>
      </c>
      <c r="AO15" s="273">
        <f>IF(AO$4&lt;&gt;1,"",COUNTIF(AO9:AO13,"ล")+COUNTIF(AO9:AO13,"ป"))</f>
        <v/>
      </c>
      <c r="AP15" s="273">
        <f>IF(AP$4&lt;&gt;1,"",COUNTIF(AP9:AP13,"ล")+COUNTIF(AP9:AP13,"ป"))</f>
        <v/>
      </c>
      <c r="AQ15" s="273">
        <f>IF(AQ$4&lt;&gt;1,"",COUNTIF(AQ9:AQ13,"ล")+COUNTIF(AQ9:AQ13,"ป"))</f>
        <v/>
      </c>
      <c r="AR15" s="273">
        <f>IF(AR$4&lt;&gt;1,"",COUNTIF(AR9:AR13,"ล")+COUNTIF(AR9:AR13,"ป"))</f>
        <v/>
      </c>
      <c r="AS15" s="273">
        <f>IF(AS$4&lt;&gt;1,"",COUNTIF(AS9:AS13,"ล")+COUNTIF(AS9:AS13,"ป"))</f>
        <v/>
      </c>
      <c r="AT15" s="273">
        <f>IF(AT$4&lt;&gt;1,"",COUNTIF(AT9:AT13,"ล")+COUNTIF(AT9:AT13,"ป"))</f>
        <v/>
      </c>
      <c r="AU15" s="273">
        <f>IF(AU$4&lt;&gt;1,"",COUNTIF(AU9:AU13,"ล")+COUNTIF(AU9:AU13,"ป"))</f>
        <v/>
      </c>
      <c r="AV15" s="273">
        <f>IF(AV$4&lt;&gt;1,"",COUNTIF(AV9:AV13,"ล")+COUNTIF(AV9:AV13,"ป"))</f>
        <v/>
      </c>
      <c r="AW15" s="273">
        <f>IF(AW$4&lt;&gt;1,"",COUNTIF(AW9:AW13,"ล")+COUNTIF(AW9:AW13,"ป"))</f>
        <v/>
      </c>
      <c r="AX15" s="273">
        <f>IF(AX$4&lt;&gt;1,"",COUNTIF(AX9:AX13,"ล")+COUNTIF(AX9:AX13,"ป"))</f>
        <v/>
      </c>
      <c r="AY15" s="273">
        <f>IF(AY$4&lt;&gt;1,"",COUNTIF(AY9:AY13,"ล")+COUNTIF(AY9:AY13,"ป"))</f>
        <v/>
      </c>
      <c r="AZ15" s="273">
        <f>IF(AZ$4&lt;&gt;1,"",COUNTIF(AZ9:AZ13,"ล")+COUNTIF(AZ9:AZ13,"ป"))</f>
        <v/>
      </c>
      <c r="BA15" s="273">
        <f>IF(BA$4&lt;&gt;1,"",COUNTIF(BA9:BA13,"ล")+COUNTIF(BA9:BA13,"ป"))</f>
        <v/>
      </c>
      <c r="BB15" s="273">
        <f>IF(BB$4&lt;&gt;1,"",COUNTIF(BB9:BB13,"ล")+COUNTIF(BB9:BB13,"ป"))</f>
        <v/>
      </c>
      <c r="BC15" s="273">
        <f>IF(BC$4&lt;&gt;1,"",COUNTIF(BC9:BC13,"ล")+COUNTIF(BC9:BC13,"ป"))</f>
        <v/>
      </c>
      <c r="BD15" s="273">
        <f>IF(BD$4&lt;&gt;1,"",COUNTIF(BD9:BD13,"ล")+COUNTIF(BD9:BD13,"ป"))</f>
        <v/>
      </c>
      <c r="BE15" s="273">
        <f>IF(BE$4&lt;&gt;1,"",COUNTIF(BE9:BE13,"ล")+COUNTIF(BE9:BE13,"ป"))</f>
        <v/>
      </c>
      <c r="BF15" s="273">
        <f>IF(BF$4&lt;&gt;1,"",COUNTIF(BF9:BF13,"ล")+COUNTIF(BF9:BF13,"ป"))</f>
        <v/>
      </c>
      <c r="BG15" s="273">
        <f>IF(BG$4&lt;&gt;1,"",COUNTIF(BG9:BG13,"ล")+COUNTIF(BG9:BG13,"ป"))</f>
        <v/>
      </c>
      <c r="BH15" s="273">
        <f>IF(BH$4&lt;&gt;1,"",COUNTIF(BH9:BH13,"ล")+COUNTIF(BH9:BH13,"ป"))</f>
        <v/>
      </c>
      <c r="BI15" s="273">
        <f>IF(BI$4&lt;&gt;1,"",COUNTIF(BI9:BI13,"ล")+COUNTIF(BI9:BI13,"ป"))</f>
        <v/>
      </c>
      <c r="BJ15" s="273">
        <f>IF(BJ$4&lt;&gt;1,"",COUNTIF(BJ9:BJ13,"ล")+COUNTIF(BJ9:BJ13,"ป"))</f>
        <v/>
      </c>
      <c r="BK15" s="273">
        <f>IF(BK$4&lt;&gt;1,"",COUNTIF(BK9:BK13,"ล")+COUNTIF(BK9:BK13,"ป"))</f>
        <v/>
      </c>
      <c r="BL15" s="273">
        <f>IF(BL$4&lt;&gt;1,"",COUNTIF(BL9:BL13,"ล")+COUNTIF(BL9:BL13,"ป"))</f>
        <v/>
      </c>
      <c r="BM15" s="273">
        <f>IF(BM$4&lt;&gt;1,"",COUNTIF(BM9:BM13,"ล")+COUNTIF(BM9:BM13,"ป"))</f>
        <v/>
      </c>
      <c r="BN15" s="273">
        <f>IF(BN$4&lt;&gt;1,"",COUNTIF(BN9:BN13,"ล")+COUNTIF(BN9:BN13,"ป"))</f>
        <v/>
      </c>
      <c r="BO15" s="273">
        <f>IF(BO$4&lt;&gt;1,"",COUNTIF(BO9:BO13,"ล")+COUNTIF(BO9:BO13,"ป"))</f>
        <v/>
      </c>
      <c r="BP15" s="273">
        <f>IF(BP$4&lt;&gt;1,"",COUNTIF(BP9:BP13,"ล")+COUNTIF(BP9:BP13,"ป"))</f>
        <v/>
      </c>
      <c r="BQ15" s="274" t="n"/>
      <c r="BR15" s="275" t="n"/>
      <c r="BS15" s="276" t="n"/>
      <c r="BT15" s="272">
        <f>IF(BT$4&lt;&gt;1,"",COUNTIF(BT9:BT13,"ล")+COUNTIF(BT9:BT13,"ป"))</f>
        <v/>
      </c>
      <c r="BU15" s="273">
        <f>IF(BU$4&lt;&gt;1,"",COUNTIF(BU9:BU13,"ล")+COUNTIF(BU9:BU13,"ป"))</f>
        <v/>
      </c>
      <c r="BV15" s="273">
        <f>IF(BV$4&lt;&gt;1,"",COUNTIF(BV9:BV13,"ล")+COUNTIF(BV9:BV13,"ป"))</f>
        <v/>
      </c>
      <c r="BW15" s="273">
        <f>IF(BW$4&lt;&gt;1,"",COUNTIF(BW9:BW13,"ล")+COUNTIF(BW9:BW13,"ป"))</f>
        <v/>
      </c>
      <c r="BX15" s="273">
        <f>IF(BX$4&lt;&gt;1,"",COUNTIF(BX9:BX13,"ล")+COUNTIF(BX9:BX13,"ป"))</f>
        <v/>
      </c>
      <c r="BY15" s="273">
        <f>IF(BY$4&lt;&gt;1,"",COUNTIF(BY9:BY13,"ล")+COUNTIF(BY9:BY13,"ป"))</f>
        <v/>
      </c>
      <c r="BZ15" s="273">
        <f>IF(BZ$4&lt;&gt;1,"",COUNTIF(BZ9:BZ13,"ล")+COUNTIF(BZ9:BZ13,"ป"))</f>
        <v/>
      </c>
      <c r="CA15" s="273">
        <f>IF(CA$4&lt;&gt;1,"",COUNTIF(CA9:CA13,"ล")+COUNTIF(CA9:CA13,"ป"))</f>
        <v/>
      </c>
      <c r="CB15" s="273">
        <f>IF(CB$4&lt;&gt;1,"",COUNTIF(CB9:CB13,"ล")+COUNTIF(CB9:CB13,"ป"))</f>
        <v/>
      </c>
      <c r="CC15" s="273">
        <f>IF(CC$4&lt;&gt;1,"",COUNTIF(CC9:CC13,"ล")+COUNTIF(CC9:CC13,"ป"))</f>
        <v/>
      </c>
      <c r="CD15" s="273">
        <f>IF(CD$4&lt;&gt;1,"",COUNTIF(CD9:CD13,"ล")+COUNTIF(CD9:CD13,"ป"))</f>
        <v/>
      </c>
      <c r="CE15" s="273">
        <f>IF(CE$4&lt;&gt;1,"",COUNTIF(CE9:CE13,"ล")+COUNTIF(CE9:CE13,"ป"))</f>
        <v/>
      </c>
      <c r="CF15" s="273">
        <f>IF(CF$4&lt;&gt;1,"",COUNTIF(CF9:CF13,"ล")+COUNTIF(CF9:CF13,"ป"))</f>
        <v/>
      </c>
      <c r="CG15" s="273">
        <f>IF(CG$4&lt;&gt;1,"",COUNTIF(CG9:CG13,"ล")+COUNTIF(CG9:CG13,"ป"))</f>
        <v/>
      </c>
      <c r="CH15" s="273">
        <f>IF(CH$4&lt;&gt;1,"",COUNTIF(CH9:CH13,"ล")+COUNTIF(CH9:CH13,"ป"))</f>
        <v/>
      </c>
      <c r="CI15" s="273">
        <f>IF(CI$4&lt;&gt;1,"",COUNTIF(CI9:CI13,"ล")+COUNTIF(CI9:CI13,"ป"))</f>
        <v/>
      </c>
      <c r="CJ15" s="273">
        <f>IF(CJ$4&lt;&gt;1,"",COUNTIF(CJ9:CJ13,"ล")+COUNTIF(CJ9:CJ13,"ป"))</f>
        <v/>
      </c>
      <c r="CK15" s="273">
        <f>IF(CK$4&lt;&gt;1,"",COUNTIF(CK9:CK13,"ล")+COUNTIF(CK9:CK13,"ป"))</f>
        <v/>
      </c>
      <c r="CL15" s="273">
        <f>IF(CL$4&lt;&gt;1,"",COUNTIF(CL9:CL13,"ล")+COUNTIF(CL9:CL13,"ป"))</f>
        <v/>
      </c>
      <c r="CM15" s="273">
        <f>IF(CM$4&lt;&gt;1,"",COUNTIF(CM9:CM13,"ล")+COUNTIF(CM9:CM13,"ป"))</f>
        <v/>
      </c>
      <c r="CN15" s="273">
        <f>IF(CN$4&lt;&gt;1,"",COUNTIF(CN9:CN13,"ล")+COUNTIF(CN9:CN13,"ป"))</f>
        <v/>
      </c>
      <c r="CO15" s="273">
        <f>IF(CO$4&lt;&gt;1,"",COUNTIF(CO9:CO13,"ล")+COUNTIF(CO9:CO13,"ป"))</f>
        <v/>
      </c>
      <c r="CP15" s="273">
        <f>IF(CP$4&lt;&gt;1,"",COUNTIF(CP9:CP13,"ล")+COUNTIF(CP9:CP13,"ป"))</f>
        <v/>
      </c>
      <c r="CQ15" s="273">
        <f>IF(CQ$4&lt;&gt;1,"",COUNTIF(CQ9:CQ13,"ล")+COUNTIF(CQ9:CQ13,"ป"))</f>
        <v/>
      </c>
      <c r="CR15" s="273">
        <f>IF(CR$4&lt;&gt;1,"",COUNTIF(CR9:CR13,"ล")+COUNTIF(CR9:CR13,"ป"))</f>
        <v/>
      </c>
      <c r="CS15" s="273">
        <f>IF(CS$4&lt;&gt;1,"",COUNTIF(CS9:CS13,"ล")+COUNTIF(CS9:CS13,"ป"))</f>
        <v/>
      </c>
      <c r="CT15" s="273">
        <f>IF(CT$4&lt;&gt;1,"",COUNTIF(CT9:CT13,"ล")+COUNTIF(CT9:CT13,"ป"))</f>
        <v/>
      </c>
      <c r="CU15" s="273">
        <f>IF(CU$4&lt;&gt;1,"",COUNTIF(CU9:CU13,"ล")+COUNTIF(CU9:CU13,"ป"))</f>
        <v/>
      </c>
      <c r="CV15" s="273">
        <f>IF(CV$4&lt;&gt;1,"",COUNTIF(CV9:CV13,"ล")+COUNTIF(CV9:CV13,"ป"))</f>
        <v/>
      </c>
      <c r="CW15" s="273">
        <f>IF(CW$4&lt;&gt;1,"",COUNTIF(CW9:CW13,"ล")+COUNTIF(CW9:CW13,"ป"))</f>
        <v/>
      </c>
      <c r="CX15" s="273">
        <f>IF(CX$4&lt;&gt;1,"",COUNTIF(CX9:CX13,"ล")+COUNTIF(CX9:CX13,"ป"))</f>
        <v/>
      </c>
      <c r="CY15" s="274" t="n"/>
      <c r="CZ15" s="275" t="n"/>
      <c r="DA15" s="276" t="n"/>
      <c r="DB15" s="272">
        <f>IF(DB$4&lt;&gt;1,"",COUNTIF(DB9:DB13,"ล")+COUNTIF(DB9:DB13,"ป"))</f>
        <v/>
      </c>
      <c r="DC15" s="273">
        <f>IF(DC$4&lt;&gt;1,"",COUNTIF(DC9:DC13,"ล")+COUNTIF(DC9:DC13,"ป"))</f>
        <v/>
      </c>
      <c r="DD15" s="273">
        <f>IF(DD$4&lt;&gt;1,"",COUNTIF(DD9:DD13,"ล")+COUNTIF(DD9:DD13,"ป"))</f>
        <v/>
      </c>
      <c r="DE15" s="273">
        <f>IF(DE$4&lt;&gt;1,"",COUNTIF(DE9:DE13,"ล")+COUNTIF(DE9:DE13,"ป"))</f>
        <v/>
      </c>
      <c r="DF15" s="273">
        <f>IF(DF$4&lt;&gt;1,"",COUNTIF(DF9:DF13,"ล")+COUNTIF(DF9:DF13,"ป"))</f>
        <v/>
      </c>
      <c r="DG15" s="273">
        <f>IF(DG$4&lt;&gt;1,"",COUNTIF(DG9:DG13,"ล")+COUNTIF(DG9:DG13,"ป"))</f>
        <v/>
      </c>
      <c r="DH15" s="273">
        <f>IF(DH$4&lt;&gt;1,"",COUNTIF(DH9:DH13,"ล")+COUNTIF(DH9:DH13,"ป"))</f>
        <v/>
      </c>
      <c r="DI15" s="273">
        <f>IF(DI$4&lt;&gt;1,"",COUNTIF(DI9:DI13,"ล")+COUNTIF(DI9:DI13,"ป"))</f>
        <v/>
      </c>
      <c r="DJ15" s="273">
        <f>IF(DJ$4&lt;&gt;1,"",COUNTIF(DJ9:DJ13,"ล")+COUNTIF(DJ9:DJ13,"ป"))</f>
        <v/>
      </c>
      <c r="DK15" s="273">
        <f>IF(DK$4&lt;&gt;1,"",COUNTIF(DK9:DK13,"ล")+COUNTIF(DK9:DK13,"ป"))</f>
        <v/>
      </c>
      <c r="DL15" s="273">
        <f>IF(DL$4&lt;&gt;1,"",COUNTIF(DL9:DL13,"ล")+COUNTIF(DL9:DL13,"ป"))</f>
        <v/>
      </c>
      <c r="DM15" s="273">
        <f>IF(DM$4&lt;&gt;1,"",COUNTIF(DM9:DM13,"ล")+COUNTIF(DM9:DM13,"ป"))</f>
        <v/>
      </c>
      <c r="DN15" s="273">
        <f>IF(DN$4&lt;&gt;1,"",COUNTIF(DN9:DN13,"ล")+COUNTIF(DN9:DN13,"ป"))</f>
        <v/>
      </c>
      <c r="DO15" s="273">
        <f>IF(DO$4&lt;&gt;1,"",COUNTIF(DO9:DO13,"ล")+COUNTIF(DO9:DO13,"ป"))</f>
        <v/>
      </c>
      <c r="DP15" s="273">
        <f>IF(DP$4&lt;&gt;1,"",COUNTIF(DP9:DP13,"ล")+COUNTIF(DP9:DP13,"ป"))</f>
        <v/>
      </c>
      <c r="DQ15" s="273">
        <f>IF(DQ$4&lt;&gt;1,"",COUNTIF(DQ9:DQ13,"ล")+COUNTIF(DQ9:DQ13,"ป"))</f>
        <v/>
      </c>
      <c r="DR15" s="273">
        <f>IF(DR$4&lt;&gt;1,"",COUNTIF(DR9:DR13,"ล")+COUNTIF(DR9:DR13,"ป"))</f>
        <v/>
      </c>
      <c r="DS15" s="273">
        <f>IF(DS$4&lt;&gt;1,"",COUNTIF(DS9:DS13,"ล")+COUNTIF(DS9:DS13,"ป"))</f>
        <v/>
      </c>
      <c r="DT15" s="273">
        <f>IF(DT$4&lt;&gt;1,"",COUNTIF(DT9:DT13,"ล")+COUNTIF(DT9:DT13,"ป"))</f>
        <v/>
      </c>
      <c r="DU15" s="273">
        <f>IF(DU$4&lt;&gt;1,"",COUNTIF(DU9:DU13,"ล")+COUNTIF(DU9:DU13,"ป"))</f>
        <v/>
      </c>
      <c r="DV15" s="273">
        <f>IF(DV$4&lt;&gt;1,"",COUNTIF(DV9:DV13,"ล")+COUNTIF(DV9:DV13,"ป"))</f>
        <v/>
      </c>
      <c r="DW15" s="273">
        <f>IF(DW$4&lt;&gt;1,"",COUNTIF(DW9:DW13,"ล")+COUNTIF(DW9:DW13,"ป"))</f>
        <v/>
      </c>
      <c r="DX15" s="273">
        <f>IF(DX$4&lt;&gt;1,"",COUNTIF(DX9:DX13,"ล")+COUNTIF(DX9:DX13,"ป"))</f>
        <v/>
      </c>
      <c r="DY15" s="273">
        <f>IF(DY$4&lt;&gt;1,"",COUNTIF(DY9:DY13,"ล")+COUNTIF(DY9:DY13,"ป"))</f>
        <v/>
      </c>
      <c r="DZ15" s="273">
        <f>IF(DZ$4&lt;&gt;1,"",COUNTIF(DZ9:DZ13,"ล")+COUNTIF(DZ9:DZ13,"ป"))</f>
        <v/>
      </c>
      <c r="EA15" s="273">
        <f>IF(EA$4&lt;&gt;1,"",COUNTIF(EA9:EA13,"ล")+COUNTIF(EA9:EA13,"ป"))</f>
        <v/>
      </c>
      <c r="EB15" s="273">
        <f>IF(EB$4&lt;&gt;1,"",COUNTIF(EB9:EB13,"ล")+COUNTIF(EB9:EB13,"ป"))</f>
        <v/>
      </c>
      <c r="EC15" s="273">
        <f>IF(EC$4&lt;&gt;1,"",COUNTIF(EC9:EC13,"ล")+COUNTIF(EC9:EC13,"ป"))</f>
        <v/>
      </c>
      <c r="ED15" s="273">
        <f>IF(ED$4&lt;&gt;1,"",COUNTIF(ED9:ED13,"ล")+COUNTIF(ED9:ED13,"ป"))</f>
        <v/>
      </c>
      <c r="EE15" s="273">
        <f>IF(EE$4&lt;&gt;1,"",COUNTIF(EE9:EE13,"ล")+COUNTIF(EE9:EE13,"ป"))</f>
        <v/>
      </c>
      <c r="EF15" s="273">
        <f>IF(EF$4&lt;&gt;1,"",COUNTIF(EF9:EF13,"ล")+COUNTIF(EF9:EF13,"ป"))</f>
        <v/>
      </c>
      <c r="EG15" s="274" t="n"/>
      <c r="EH15" s="275" t="n"/>
      <c r="EI15" s="276" t="n"/>
      <c r="EJ15" s="272">
        <f>IF(EJ$4&lt;&gt;1,"",COUNTIF(EJ9:EJ13,"ล")+COUNTIF(EJ9:EJ13,"ป"))</f>
        <v/>
      </c>
      <c r="EK15" s="273">
        <f>IF(EK$4&lt;&gt;1,"",COUNTIF(EK9:EK13,"ล")+COUNTIF(EK9:EK13,"ป"))</f>
        <v/>
      </c>
      <c r="EL15" s="273">
        <f>IF(EL$4&lt;&gt;1,"",COUNTIF(EL9:EL13,"ล")+COUNTIF(EL9:EL13,"ป"))</f>
        <v/>
      </c>
      <c r="EM15" s="273">
        <f>IF(EM$4&lt;&gt;1,"",COUNTIF(EM9:EM13,"ล")+COUNTIF(EM9:EM13,"ป"))</f>
        <v/>
      </c>
      <c r="EN15" s="273">
        <f>IF(EN$4&lt;&gt;1,"",COUNTIF(EN9:EN13,"ล")+COUNTIF(EN9:EN13,"ป"))</f>
        <v/>
      </c>
      <c r="EO15" s="273">
        <f>IF(EO$4&lt;&gt;1,"",COUNTIF(EO9:EO13,"ล")+COUNTIF(EO9:EO13,"ป"))</f>
        <v/>
      </c>
      <c r="EP15" s="273">
        <f>IF(EP$4&lt;&gt;1,"",COUNTIF(EP9:EP13,"ล")+COUNTIF(EP9:EP13,"ป"))</f>
        <v/>
      </c>
      <c r="EQ15" s="273">
        <f>IF(EQ$4&lt;&gt;1,"",COUNTIF(EQ9:EQ13,"ล")+COUNTIF(EQ9:EQ13,"ป"))</f>
        <v/>
      </c>
      <c r="ER15" s="273">
        <f>IF(ER$4&lt;&gt;1,"",COUNTIF(ER9:ER13,"ล")+COUNTIF(ER9:ER13,"ป"))</f>
        <v/>
      </c>
      <c r="ES15" s="273">
        <f>IF(ES$4&lt;&gt;1,"",COUNTIF(ES9:ES13,"ล")+COUNTIF(ES9:ES13,"ป"))</f>
        <v/>
      </c>
      <c r="ET15" s="273">
        <f>IF(ET$4&lt;&gt;1,"",COUNTIF(ET9:ET13,"ล")+COUNTIF(ET9:ET13,"ป"))</f>
        <v/>
      </c>
      <c r="EU15" s="273">
        <f>IF(EU$4&lt;&gt;1,"",COUNTIF(EU9:EU13,"ล")+COUNTIF(EU9:EU13,"ป"))</f>
        <v/>
      </c>
      <c r="EV15" s="273">
        <f>IF(EV$4&lt;&gt;1,"",COUNTIF(EV9:EV13,"ล")+COUNTIF(EV9:EV13,"ป"))</f>
        <v/>
      </c>
      <c r="EW15" s="273">
        <f>IF(EW$4&lt;&gt;1,"",COUNTIF(EW9:EW13,"ล")+COUNTIF(EW9:EW13,"ป"))</f>
        <v/>
      </c>
      <c r="EX15" s="273">
        <f>IF(EX$4&lt;&gt;1,"",COUNTIF(EX9:EX13,"ล")+COUNTIF(EX9:EX13,"ป"))</f>
        <v/>
      </c>
      <c r="EY15" s="273">
        <f>IF(EY$4&lt;&gt;1,"",COUNTIF(EY9:EY13,"ล")+COUNTIF(EY9:EY13,"ป"))</f>
        <v/>
      </c>
      <c r="EZ15" s="273">
        <f>IF(EZ$4&lt;&gt;1,"",COUNTIF(EZ9:EZ13,"ล")+COUNTIF(EZ9:EZ13,"ป"))</f>
        <v/>
      </c>
      <c r="FA15" s="273">
        <f>IF(FA$4&lt;&gt;1,"",COUNTIF(FA9:FA13,"ล")+COUNTIF(FA9:FA13,"ป"))</f>
        <v/>
      </c>
      <c r="FB15" s="273">
        <f>IF(FB$4&lt;&gt;1,"",COUNTIF(FB9:FB13,"ล")+COUNTIF(FB9:FB13,"ป"))</f>
        <v/>
      </c>
      <c r="FC15" s="273">
        <f>IF(FC$4&lt;&gt;1,"",COUNTIF(FC9:FC13,"ล")+COUNTIF(FC9:FC13,"ป"))</f>
        <v/>
      </c>
      <c r="FD15" s="273">
        <f>IF(FD$4&lt;&gt;1,"",COUNTIF(FD9:FD13,"ล")+COUNTIF(FD9:FD13,"ป"))</f>
        <v/>
      </c>
      <c r="FE15" s="273">
        <f>IF(FE$4&lt;&gt;1,"",COUNTIF(FE9:FE13,"ล")+COUNTIF(FE9:FE13,"ป"))</f>
        <v/>
      </c>
      <c r="FF15" s="273">
        <f>IF(FF$4&lt;&gt;1,"",COUNTIF(FF9:FF13,"ล")+COUNTIF(FF9:FF13,"ป"))</f>
        <v/>
      </c>
      <c r="FG15" s="273">
        <f>IF(FG$4&lt;&gt;1,"",COUNTIF(FG9:FG13,"ล")+COUNTIF(FG9:FG13,"ป"))</f>
        <v/>
      </c>
      <c r="FH15" s="273">
        <f>IF(FH$4&lt;&gt;1,"",COUNTIF(FH9:FH13,"ล")+COUNTIF(FH9:FH13,"ป"))</f>
        <v/>
      </c>
      <c r="FI15" s="273">
        <f>IF(FI$4&lt;&gt;1,"",COUNTIF(FI9:FI13,"ล")+COUNTIF(FI9:FI13,"ป"))</f>
        <v/>
      </c>
      <c r="FJ15" s="273">
        <f>IF(FJ$4&lt;&gt;1,"",COUNTIF(FJ9:FJ13,"ล")+COUNTIF(FJ9:FJ13,"ป"))</f>
        <v/>
      </c>
      <c r="FK15" s="273">
        <f>IF(FK$4&lt;&gt;1,"",COUNTIF(FK9:FK13,"ล")+COUNTIF(FK9:FK13,"ป"))</f>
        <v/>
      </c>
      <c r="FL15" s="273">
        <f>IF(FL$4&lt;&gt;1,"",COUNTIF(FL9:FL13,"ล")+COUNTIF(FL9:FL13,"ป"))</f>
        <v/>
      </c>
      <c r="FM15" s="273">
        <f>IF(FM$4&lt;&gt;1,"",COUNTIF(FM9:FM13,"ล")+COUNTIF(FM9:FM13,"ป"))</f>
        <v/>
      </c>
      <c r="FN15" s="273">
        <f>IF(FN$4&lt;&gt;1,"",COUNTIF(FN9:FN13,"ล")+COUNTIF(FN9:FN13,"ป"))</f>
        <v/>
      </c>
      <c r="FO15" s="274" t="n"/>
      <c r="FP15" s="275" t="n"/>
      <c r="FQ15" s="276" t="n"/>
    </row>
    <row r="16">
      <c r="A16" s="271" t="inlineStr">
        <is>
          <t>ขาด (คน)</t>
        </is>
      </c>
      <c r="B16" s="184" t="n"/>
      <c r="C16" s="184" t="n"/>
      <c r="D16" s="272">
        <f>IF(D$4&lt;&gt;1,"",COUNTIF(D9:D13,"ข"))</f>
        <v/>
      </c>
      <c r="E16" s="273">
        <f>IF(E$4&lt;&gt;1,"",COUNTIF(E9:E13,"ข"))</f>
        <v/>
      </c>
      <c r="F16" s="273">
        <f>IF(F$4&lt;&gt;1,"",COUNTIF(F9:F13,"ข"))</f>
        <v/>
      </c>
      <c r="G16" s="273">
        <f>IF(G$4&lt;&gt;1,"",COUNTIF(G9:G13,"ข"))</f>
        <v/>
      </c>
      <c r="H16" s="273">
        <f>IF(H$4&lt;&gt;1,"",COUNTIF(H9:H13,"ข"))</f>
        <v/>
      </c>
      <c r="I16" s="273">
        <f>IF(I$4&lt;&gt;1,"",COUNTIF(I9:I13,"ข"))</f>
        <v/>
      </c>
      <c r="J16" s="273">
        <f>IF(J$4&lt;&gt;1,"",COUNTIF(J9:J13,"ข"))</f>
        <v/>
      </c>
      <c r="K16" s="273">
        <f>IF(K$4&lt;&gt;1,"",COUNTIF(K9:K13,"ข"))</f>
        <v/>
      </c>
      <c r="L16" s="273">
        <f>IF(L$4&lt;&gt;1,"",COUNTIF(L9:L13,"ข"))</f>
        <v/>
      </c>
      <c r="M16" s="273">
        <f>IF(M$4&lt;&gt;1,"",COUNTIF(M9:M13,"ข"))</f>
        <v/>
      </c>
      <c r="N16" s="273">
        <f>IF(N$4&lt;&gt;1,"",COUNTIF(N9:N13,"ข"))</f>
        <v/>
      </c>
      <c r="O16" s="273">
        <f>IF(O$4&lt;&gt;1,"",COUNTIF(O9:O13,"ข"))</f>
        <v/>
      </c>
      <c r="P16" s="273">
        <f>IF(P$4&lt;&gt;1,"",COUNTIF(P9:P13,"ข"))</f>
        <v/>
      </c>
      <c r="Q16" s="273">
        <f>IF(Q$4&lt;&gt;1,"",COUNTIF(Q9:Q13,"ข"))</f>
        <v/>
      </c>
      <c r="R16" s="273">
        <f>IF(R$4&lt;&gt;1,"",COUNTIF(R9:R13,"ข"))</f>
        <v/>
      </c>
      <c r="S16" s="273">
        <f>IF(S$4&lt;&gt;1,"",COUNTIF(S9:S13,"ข"))</f>
        <v/>
      </c>
      <c r="T16" s="273">
        <f>IF(T$4&lt;&gt;1,"",COUNTIF(T9:T13,"ข"))</f>
        <v/>
      </c>
      <c r="U16" s="273">
        <f>IF(U$4&lt;&gt;1,"",COUNTIF(U9:U13,"ข"))</f>
        <v/>
      </c>
      <c r="V16" s="273">
        <f>IF(V$4&lt;&gt;1,"",COUNTIF(V9:V13,"ข"))</f>
        <v/>
      </c>
      <c r="W16" s="273">
        <f>IF(W$4&lt;&gt;1,"",COUNTIF(W9:W13,"ข"))</f>
        <v/>
      </c>
      <c r="X16" s="273">
        <f>IF(X$4&lt;&gt;1,"",COUNTIF(X9:X13,"ข"))</f>
        <v/>
      </c>
      <c r="Y16" s="273">
        <f>IF(Y$4&lt;&gt;1,"",COUNTIF(Y9:Y13,"ข"))</f>
        <v/>
      </c>
      <c r="Z16" s="273">
        <f>IF(Z$4&lt;&gt;1,"",COUNTIF(Z9:Z13,"ข"))</f>
        <v/>
      </c>
      <c r="AA16" s="273">
        <f>IF(AA$4&lt;&gt;1,"",COUNTIF(AA9:AA13,"ข"))</f>
        <v/>
      </c>
      <c r="AB16" s="273">
        <f>IF(AB$4&lt;&gt;1,"",COUNTIF(AB9:AB13,"ข"))</f>
        <v/>
      </c>
      <c r="AC16" s="273">
        <f>IF(AC$4&lt;&gt;1,"",COUNTIF(AC9:AC13,"ข"))</f>
        <v/>
      </c>
      <c r="AD16" s="273">
        <f>IF(AD$4&lt;&gt;1,"",COUNTIF(AD9:AD13,"ข"))</f>
        <v/>
      </c>
      <c r="AE16" s="273">
        <f>IF(AE$4&lt;&gt;1,"",COUNTIF(AE9:AE13,"ข"))</f>
        <v/>
      </c>
      <c r="AF16" s="273">
        <f>IF(AF$4&lt;&gt;1,"",COUNTIF(AF9:AF13,"ข"))</f>
        <v/>
      </c>
      <c r="AG16" s="273">
        <f>IF(AG$4&lt;&gt;1,"",COUNTIF(AG9:AG13,"ข"))</f>
        <v/>
      </c>
      <c r="AH16" s="273">
        <f>IF(AH$4&lt;&gt;1,"",COUNTIF(AH9:AH13,"ข"))</f>
        <v/>
      </c>
      <c r="AI16" s="274" t="n"/>
      <c r="AJ16" s="275" t="n"/>
      <c r="AK16" s="276" t="n"/>
      <c r="AL16" s="272">
        <f>IF(AL$4&lt;&gt;1,"",COUNTIF(AL9:AL13,"ข"))</f>
        <v/>
      </c>
      <c r="AM16" s="273">
        <f>IF(AM$4&lt;&gt;1,"",COUNTIF(AM9:AM13,"ข"))</f>
        <v/>
      </c>
      <c r="AN16" s="273">
        <f>IF(AN$4&lt;&gt;1,"",COUNTIF(AN9:AN13,"ข"))</f>
        <v/>
      </c>
      <c r="AO16" s="273">
        <f>IF(AO$4&lt;&gt;1,"",COUNTIF(AO9:AO13,"ข"))</f>
        <v/>
      </c>
      <c r="AP16" s="273">
        <f>IF(AP$4&lt;&gt;1,"",COUNTIF(AP9:AP13,"ข"))</f>
        <v/>
      </c>
      <c r="AQ16" s="273">
        <f>IF(AQ$4&lt;&gt;1,"",COUNTIF(AQ9:AQ13,"ข"))</f>
        <v/>
      </c>
      <c r="AR16" s="273">
        <f>IF(AR$4&lt;&gt;1,"",COUNTIF(AR9:AR13,"ข"))</f>
        <v/>
      </c>
      <c r="AS16" s="273">
        <f>IF(AS$4&lt;&gt;1,"",COUNTIF(AS9:AS13,"ข"))</f>
        <v/>
      </c>
      <c r="AT16" s="273">
        <f>IF(AT$4&lt;&gt;1,"",COUNTIF(AT9:AT13,"ข"))</f>
        <v/>
      </c>
      <c r="AU16" s="273">
        <f>IF(AU$4&lt;&gt;1,"",COUNTIF(AU9:AU13,"ข"))</f>
        <v/>
      </c>
      <c r="AV16" s="273">
        <f>IF(AV$4&lt;&gt;1,"",COUNTIF(AV9:AV13,"ข"))</f>
        <v/>
      </c>
      <c r="AW16" s="273">
        <f>IF(AW$4&lt;&gt;1,"",COUNTIF(AW9:AW13,"ข"))</f>
        <v/>
      </c>
      <c r="AX16" s="273">
        <f>IF(AX$4&lt;&gt;1,"",COUNTIF(AX9:AX13,"ข"))</f>
        <v/>
      </c>
      <c r="AY16" s="273">
        <f>IF(AY$4&lt;&gt;1,"",COUNTIF(AY9:AY13,"ข"))</f>
        <v/>
      </c>
      <c r="AZ16" s="273">
        <f>IF(AZ$4&lt;&gt;1,"",COUNTIF(AZ9:AZ13,"ข"))</f>
        <v/>
      </c>
      <c r="BA16" s="273">
        <f>IF(BA$4&lt;&gt;1,"",COUNTIF(BA9:BA13,"ข"))</f>
        <v/>
      </c>
      <c r="BB16" s="273">
        <f>IF(BB$4&lt;&gt;1,"",COUNTIF(BB9:BB13,"ข"))</f>
        <v/>
      </c>
      <c r="BC16" s="273">
        <f>IF(BC$4&lt;&gt;1,"",COUNTIF(BC9:BC13,"ข"))</f>
        <v/>
      </c>
      <c r="BD16" s="273">
        <f>IF(BD$4&lt;&gt;1,"",COUNTIF(BD9:BD13,"ข"))</f>
        <v/>
      </c>
      <c r="BE16" s="273">
        <f>IF(BE$4&lt;&gt;1,"",COUNTIF(BE9:BE13,"ข"))</f>
        <v/>
      </c>
      <c r="BF16" s="273">
        <f>IF(BF$4&lt;&gt;1,"",COUNTIF(BF9:BF13,"ข"))</f>
        <v/>
      </c>
      <c r="BG16" s="273">
        <f>IF(BG$4&lt;&gt;1,"",COUNTIF(BG9:BG13,"ข"))</f>
        <v/>
      </c>
      <c r="BH16" s="273">
        <f>IF(BH$4&lt;&gt;1,"",COUNTIF(BH9:BH13,"ข"))</f>
        <v/>
      </c>
      <c r="BI16" s="273">
        <f>IF(BI$4&lt;&gt;1,"",COUNTIF(BI9:BI13,"ข"))</f>
        <v/>
      </c>
      <c r="BJ16" s="273">
        <f>IF(BJ$4&lt;&gt;1,"",COUNTIF(BJ9:BJ13,"ข"))</f>
        <v/>
      </c>
      <c r="BK16" s="273">
        <f>IF(BK$4&lt;&gt;1,"",COUNTIF(BK9:BK13,"ข"))</f>
        <v/>
      </c>
      <c r="BL16" s="273">
        <f>IF(BL$4&lt;&gt;1,"",COUNTIF(BL9:BL13,"ข"))</f>
        <v/>
      </c>
      <c r="BM16" s="273">
        <f>IF(BM$4&lt;&gt;1,"",COUNTIF(BM9:BM13,"ข"))</f>
        <v/>
      </c>
      <c r="BN16" s="273">
        <f>IF(BN$4&lt;&gt;1,"",COUNTIF(BN9:BN13,"ข"))</f>
        <v/>
      </c>
      <c r="BO16" s="273">
        <f>IF(BO$4&lt;&gt;1,"",COUNTIF(BO9:BO13,"ข"))</f>
        <v/>
      </c>
      <c r="BP16" s="273">
        <f>IF(BP$4&lt;&gt;1,"",COUNTIF(BP9:BP13,"ข"))</f>
        <v/>
      </c>
      <c r="BQ16" s="274" t="n"/>
      <c r="BR16" s="275" t="n"/>
      <c r="BS16" s="276" t="n"/>
      <c r="BT16" s="272">
        <f>IF(BT$4&lt;&gt;1,"",COUNTIF(BT9:BT13,"ข"))</f>
        <v/>
      </c>
      <c r="BU16" s="273">
        <f>IF(BU$4&lt;&gt;1,"",COUNTIF(BU9:BU13,"ข"))</f>
        <v/>
      </c>
      <c r="BV16" s="273">
        <f>IF(BV$4&lt;&gt;1,"",COUNTIF(BV9:BV13,"ข"))</f>
        <v/>
      </c>
      <c r="BW16" s="273">
        <f>IF(BW$4&lt;&gt;1,"",COUNTIF(BW9:BW13,"ข"))</f>
        <v/>
      </c>
      <c r="BX16" s="273">
        <f>IF(BX$4&lt;&gt;1,"",COUNTIF(BX9:BX13,"ข"))</f>
        <v/>
      </c>
      <c r="BY16" s="273">
        <f>IF(BY$4&lt;&gt;1,"",COUNTIF(BY9:BY13,"ข"))</f>
        <v/>
      </c>
      <c r="BZ16" s="273">
        <f>IF(BZ$4&lt;&gt;1,"",COUNTIF(BZ9:BZ13,"ข"))</f>
        <v/>
      </c>
      <c r="CA16" s="273">
        <f>IF(CA$4&lt;&gt;1,"",COUNTIF(CA9:CA13,"ข"))</f>
        <v/>
      </c>
      <c r="CB16" s="273">
        <f>IF(CB$4&lt;&gt;1,"",COUNTIF(CB9:CB13,"ข"))</f>
        <v/>
      </c>
      <c r="CC16" s="273">
        <f>IF(CC$4&lt;&gt;1,"",COUNTIF(CC9:CC13,"ข"))</f>
        <v/>
      </c>
      <c r="CD16" s="273">
        <f>IF(CD$4&lt;&gt;1,"",COUNTIF(CD9:CD13,"ข"))</f>
        <v/>
      </c>
      <c r="CE16" s="273">
        <f>IF(CE$4&lt;&gt;1,"",COUNTIF(CE9:CE13,"ข"))</f>
        <v/>
      </c>
      <c r="CF16" s="273">
        <f>IF(CF$4&lt;&gt;1,"",COUNTIF(CF9:CF13,"ข"))</f>
        <v/>
      </c>
      <c r="CG16" s="273">
        <f>IF(CG$4&lt;&gt;1,"",COUNTIF(CG9:CG13,"ข"))</f>
        <v/>
      </c>
      <c r="CH16" s="273">
        <f>IF(CH$4&lt;&gt;1,"",COUNTIF(CH9:CH13,"ข"))</f>
        <v/>
      </c>
      <c r="CI16" s="273">
        <f>IF(CI$4&lt;&gt;1,"",COUNTIF(CI9:CI13,"ข"))</f>
        <v/>
      </c>
      <c r="CJ16" s="273">
        <f>IF(CJ$4&lt;&gt;1,"",COUNTIF(CJ9:CJ13,"ข"))</f>
        <v/>
      </c>
      <c r="CK16" s="273">
        <f>IF(CK$4&lt;&gt;1,"",COUNTIF(CK9:CK13,"ข"))</f>
        <v/>
      </c>
      <c r="CL16" s="273">
        <f>IF(CL$4&lt;&gt;1,"",COUNTIF(CL9:CL13,"ข"))</f>
        <v/>
      </c>
      <c r="CM16" s="273">
        <f>IF(CM$4&lt;&gt;1,"",COUNTIF(CM9:CM13,"ข"))</f>
        <v/>
      </c>
      <c r="CN16" s="273">
        <f>IF(CN$4&lt;&gt;1,"",COUNTIF(CN9:CN13,"ข"))</f>
        <v/>
      </c>
      <c r="CO16" s="273">
        <f>IF(CO$4&lt;&gt;1,"",COUNTIF(CO9:CO13,"ข"))</f>
        <v/>
      </c>
      <c r="CP16" s="273">
        <f>IF(CP$4&lt;&gt;1,"",COUNTIF(CP9:CP13,"ข"))</f>
        <v/>
      </c>
      <c r="CQ16" s="273">
        <f>IF(CQ$4&lt;&gt;1,"",COUNTIF(CQ9:CQ13,"ข"))</f>
        <v/>
      </c>
      <c r="CR16" s="273">
        <f>IF(CR$4&lt;&gt;1,"",COUNTIF(CR9:CR13,"ข"))</f>
        <v/>
      </c>
      <c r="CS16" s="273">
        <f>IF(CS$4&lt;&gt;1,"",COUNTIF(CS9:CS13,"ข"))</f>
        <v/>
      </c>
      <c r="CT16" s="273">
        <f>IF(CT$4&lt;&gt;1,"",COUNTIF(CT9:CT13,"ข"))</f>
        <v/>
      </c>
      <c r="CU16" s="273">
        <f>IF(CU$4&lt;&gt;1,"",COUNTIF(CU9:CU13,"ข"))</f>
        <v/>
      </c>
      <c r="CV16" s="273">
        <f>IF(CV$4&lt;&gt;1,"",COUNTIF(CV9:CV13,"ข"))</f>
        <v/>
      </c>
      <c r="CW16" s="273">
        <f>IF(CW$4&lt;&gt;1,"",COUNTIF(CW9:CW13,"ข"))</f>
        <v/>
      </c>
      <c r="CX16" s="273">
        <f>IF(CX$4&lt;&gt;1,"",COUNTIF(CX9:CX13,"ข"))</f>
        <v/>
      </c>
      <c r="CY16" s="274" t="n"/>
      <c r="CZ16" s="275" t="n"/>
      <c r="DA16" s="276" t="n"/>
      <c r="DB16" s="272">
        <f>IF(DB$4&lt;&gt;1,"",COUNTIF(DB9:DB13,"ข"))</f>
        <v/>
      </c>
      <c r="DC16" s="273">
        <f>IF(DC$4&lt;&gt;1,"",COUNTIF(DC9:DC13,"ข"))</f>
        <v/>
      </c>
      <c r="DD16" s="273">
        <f>IF(DD$4&lt;&gt;1,"",COUNTIF(DD9:DD13,"ข"))</f>
        <v/>
      </c>
      <c r="DE16" s="273">
        <f>IF(DE$4&lt;&gt;1,"",COUNTIF(DE9:DE13,"ข"))</f>
        <v/>
      </c>
      <c r="DF16" s="273">
        <f>IF(DF$4&lt;&gt;1,"",COUNTIF(DF9:DF13,"ข"))</f>
        <v/>
      </c>
      <c r="DG16" s="273">
        <f>IF(DG$4&lt;&gt;1,"",COUNTIF(DG9:DG13,"ข"))</f>
        <v/>
      </c>
      <c r="DH16" s="273">
        <f>IF(DH$4&lt;&gt;1,"",COUNTIF(DH9:DH13,"ข"))</f>
        <v/>
      </c>
      <c r="DI16" s="273">
        <f>IF(DI$4&lt;&gt;1,"",COUNTIF(DI9:DI13,"ข"))</f>
        <v/>
      </c>
      <c r="DJ16" s="273">
        <f>IF(DJ$4&lt;&gt;1,"",COUNTIF(DJ9:DJ13,"ข"))</f>
        <v/>
      </c>
      <c r="DK16" s="273">
        <f>IF(DK$4&lt;&gt;1,"",COUNTIF(DK9:DK13,"ข"))</f>
        <v/>
      </c>
      <c r="DL16" s="273">
        <f>IF(DL$4&lt;&gt;1,"",COUNTIF(DL9:DL13,"ข"))</f>
        <v/>
      </c>
      <c r="DM16" s="273">
        <f>IF(DM$4&lt;&gt;1,"",COUNTIF(DM9:DM13,"ข"))</f>
        <v/>
      </c>
      <c r="DN16" s="273">
        <f>IF(DN$4&lt;&gt;1,"",COUNTIF(DN9:DN13,"ข"))</f>
        <v/>
      </c>
      <c r="DO16" s="273">
        <f>IF(DO$4&lt;&gt;1,"",COUNTIF(DO9:DO13,"ข"))</f>
        <v/>
      </c>
      <c r="DP16" s="273">
        <f>IF(DP$4&lt;&gt;1,"",COUNTIF(DP9:DP13,"ข"))</f>
        <v/>
      </c>
      <c r="DQ16" s="273">
        <f>IF(DQ$4&lt;&gt;1,"",COUNTIF(DQ9:DQ13,"ข"))</f>
        <v/>
      </c>
      <c r="DR16" s="273">
        <f>IF(DR$4&lt;&gt;1,"",COUNTIF(DR9:DR13,"ข"))</f>
        <v/>
      </c>
      <c r="DS16" s="273">
        <f>IF(DS$4&lt;&gt;1,"",COUNTIF(DS9:DS13,"ข"))</f>
        <v/>
      </c>
      <c r="DT16" s="273">
        <f>IF(DT$4&lt;&gt;1,"",COUNTIF(DT9:DT13,"ข"))</f>
        <v/>
      </c>
      <c r="DU16" s="273">
        <f>IF(DU$4&lt;&gt;1,"",COUNTIF(DU9:DU13,"ข"))</f>
        <v/>
      </c>
      <c r="DV16" s="273">
        <f>IF(DV$4&lt;&gt;1,"",COUNTIF(DV9:DV13,"ข"))</f>
        <v/>
      </c>
      <c r="DW16" s="273">
        <f>IF(DW$4&lt;&gt;1,"",COUNTIF(DW9:DW13,"ข"))</f>
        <v/>
      </c>
      <c r="DX16" s="273">
        <f>IF(DX$4&lt;&gt;1,"",COUNTIF(DX9:DX13,"ข"))</f>
        <v/>
      </c>
      <c r="DY16" s="273">
        <f>IF(DY$4&lt;&gt;1,"",COUNTIF(DY9:DY13,"ข"))</f>
        <v/>
      </c>
      <c r="DZ16" s="273">
        <f>IF(DZ$4&lt;&gt;1,"",COUNTIF(DZ9:DZ13,"ข"))</f>
        <v/>
      </c>
      <c r="EA16" s="273">
        <f>IF(EA$4&lt;&gt;1,"",COUNTIF(EA9:EA13,"ข"))</f>
        <v/>
      </c>
      <c r="EB16" s="273">
        <f>IF(EB$4&lt;&gt;1,"",COUNTIF(EB9:EB13,"ข"))</f>
        <v/>
      </c>
      <c r="EC16" s="273">
        <f>IF(EC$4&lt;&gt;1,"",COUNTIF(EC9:EC13,"ข"))</f>
        <v/>
      </c>
      <c r="ED16" s="273">
        <f>IF(ED$4&lt;&gt;1,"",COUNTIF(ED9:ED13,"ข"))</f>
        <v/>
      </c>
      <c r="EE16" s="273">
        <f>IF(EE$4&lt;&gt;1,"",COUNTIF(EE9:EE13,"ข"))</f>
        <v/>
      </c>
      <c r="EF16" s="273">
        <f>IF(EF$4&lt;&gt;1,"",COUNTIF(EF9:EF13,"ข"))</f>
        <v/>
      </c>
      <c r="EG16" s="274" t="n"/>
      <c r="EH16" s="275" t="n"/>
      <c r="EI16" s="276" t="n"/>
      <c r="EJ16" s="272">
        <f>IF(EJ$4&lt;&gt;1,"",COUNTIF(EJ9:EJ13,"ข"))</f>
        <v/>
      </c>
      <c r="EK16" s="273">
        <f>IF(EK$4&lt;&gt;1,"",COUNTIF(EK9:EK13,"ข"))</f>
        <v/>
      </c>
      <c r="EL16" s="273">
        <f>IF(EL$4&lt;&gt;1,"",COUNTIF(EL9:EL13,"ข"))</f>
        <v/>
      </c>
      <c r="EM16" s="273">
        <f>IF(EM$4&lt;&gt;1,"",COUNTIF(EM9:EM13,"ข"))</f>
        <v/>
      </c>
      <c r="EN16" s="273">
        <f>IF(EN$4&lt;&gt;1,"",COUNTIF(EN9:EN13,"ข"))</f>
        <v/>
      </c>
      <c r="EO16" s="273">
        <f>IF(EO$4&lt;&gt;1,"",COUNTIF(EO9:EO13,"ข"))</f>
        <v/>
      </c>
      <c r="EP16" s="273">
        <f>IF(EP$4&lt;&gt;1,"",COUNTIF(EP9:EP13,"ข"))</f>
        <v/>
      </c>
      <c r="EQ16" s="273">
        <f>IF(EQ$4&lt;&gt;1,"",COUNTIF(EQ9:EQ13,"ข"))</f>
        <v/>
      </c>
      <c r="ER16" s="273">
        <f>IF(ER$4&lt;&gt;1,"",COUNTIF(ER9:ER13,"ข"))</f>
        <v/>
      </c>
      <c r="ES16" s="273">
        <f>IF(ES$4&lt;&gt;1,"",COUNTIF(ES9:ES13,"ข"))</f>
        <v/>
      </c>
      <c r="ET16" s="273">
        <f>IF(ET$4&lt;&gt;1,"",COUNTIF(ET9:ET13,"ข"))</f>
        <v/>
      </c>
      <c r="EU16" s="273">
        <f>IF(EU$4&lt;&gt;1,"",COUNTIF(EU9:EU13,"ข"))</f>
        <v/>
      </c>
      <c r="EV16" s="273">
        <f>IF(EV$4&lt;&gt;1,"",COUNTIF(EV9:EV13,"ข"))</f>
        <v/>
      </c>
      <c r="EW16" s="273">
        <f>IF(EW$4&lt;&gt;1,"",COUNTIF(EW9:EW13,"ข"))</f>
        <v/>
      </c>
      <c r="EX16" s="273">
        <f>IF(EX$4&lt;&gt;1,"",COUNTIF(EX9:EX13,"ข"))</f>
        <v/>
      </c>
      <c r="EY16" s="273">
        <f>IF(EY$4&lt;&gt;1,"",COUNTIF(EY9:EY13,"ข"))</f>
        <v/>
      </c>
      <c r="EZ16" s="273">
        <f>IF(EZ$4&lt;&gt;1,"",COUNTIF(EZ9:EZ13,"ข"))</f>
        <v/>
      </c>
      <c r="FA16" s="273">
        <f>IF(FA$4&lt;&gt;1,"",COUNTIF(FA9:FA13,"ข"))</f>
        <v/>
      </c>
      <c r="FB16" s="273">
        <f>IF(FB$4&lt;&gt;1,"",COUNTIF(FB9:FB13,"ข"))</f>
        <v/>
      </c>
      <c r="FC16" s="273">
        <f>IF(FC$4&lt;&gt;1,"",COUNTIF(FC9:FC13,"ข"))</f>
        <v/>
      </c>
      <c r="FD16" s="273">
        <f>IF(FD$4&lt;&gt;1,"",COUNTIF(FD9:FD13,"ข"))</f>
        <v/>
      </c>
      <c r="FE16" s="273">
        <f>IF(FE$4&lt;&gt;1,"",COUNTIF(FE9:FE13,"ข"))</f>
        <v/>
      </c>
      <c r="FF16" s="273">
        <f>IF(FF$4&lt;&gt;1,"",COUNTIF(FF9:FF13,"ข"))</f>
        <v/>
      </c>
      <c r="FG16" s="273">
        <f>IF(FG$4&lt;&gt;1,"",COUNTIF(FG9:FG13,"ข"))</f>
        <v/>
      </c>
      <c r="FH16" s="273">
        <f>IF(FH$4&lt;&gt;1,"",COUNTIF(FH9:FH13,"ข"))</f>
        <v/>
      </c>
      <c r="FI16" s="273">
        <f>IF(FI$4&lt;&gt;1,"",COUNTIF(FI9:FI13,"ข"))</f>
        <v/>
      </c>
      <c r="FJ16" s="273">
        <f>IF(FJ$4&lt;&gt;1,"",COUNTIF(FJ9:FJ13,"ข"))</f>
        <v/>
      </c>
      <c r="FK16" s="273">
        <f>IF(FK$4&lt;&gt;1,"",COUNTIF(FK9:FK13,"ข"))</f>
        <v/>
      </c>
      <c r="FL16" s="273">
        <f>IF(FL$4&lt;&gt;1,"",COUNTIF(FL9:FL13,"ข"))</f>
        <v/>
      </c>
      <c r="FM16" s="273">
        <f>IF(FM$4&lt;&gt;1,"",COUNTIF(FM9:FM13,"ข"))</f>
        <v/>
      </c>
      <c r="FN16" s="273">
        <f>IF(FN$4&lt;&gt;1,"",COUNTIF(FN9:FN13,"ข"))</f>
        <v/>
      </c>
      <c r="FO16" s="274" t="n"/>
      <c r="FP16" s="275" t="n"/>
      <c r="FQ16" s="276" t="n"/>
    </row>
    <row r="17">
      <c r="A17" s="271" t="inlineStr">
        <is>
          <t>ยังไม่บันทึก (คน)</t>
        </is>
      </c>
      <c r="B17" s="184" t="n"/>
      <c r="C17" s="184" t="n"/>
      <c r="D17" s="272">
        <f>IF(D$4&lt;&gt;1,"",COUNTIF('ข้อมูลนักเรียน'!$E$9:$E$13,"?*")-COUNTA(D9:D13))</f>
        <v/>
      </c>
      <c r="E17" s="273">
        <f>IF(E$4&lt;&gt;1,"",COUNTIF('ข้อมูลนักเรียน'!$E$9:$E$13,"?*")-COUNTA(E9:E13))</f>
        <v/>
      </c>
      <c r="F17" s="273">
        <f>IF(F$4&lt;&gt;1,"",COUNTIF('ข้อมูลนักเรียน'!$E$9:$E$13,"?*")-COUNTA(F9:F13))</f>
        <v/>
      </c>
      <c r="G17" s="273">
        <f>IF(G$4&lt;&gt;1,"",COUNTIF('ข้อมูลนักเรียน'!$E$9:$E$13,"?*")-COUNTA(G9:G13))</f>
        <v/>
      </c>
      <c r="H17" s="273">
        <f>IF(H$4&lt;&gt;1,"",COUNTIF('ข้อมูลนักเรียน'!$E$9:$E$13,"?*")-COUNTA(H9:H13))</f>
        <v/>
      </c>
      <c r="I17" s="273">
        <f>IF(I$4&lt;&gt;1,"",COUNTIF('ข้อมูลนักเรียน'!$E$9:$E$13,"?*")-COUNTA(I9:I13))</f>
        <v/>
      </c>
      <c r="J17" s="273">
        <f>IF(J$4&lt;&gt;1,"",COUNTIF('ข้อมูลนักเรียน'!$E$9:$E$13,"?*")-COUNTA(J9:J13))</f>
        <v/>
      </c>
      <c r="K17" s="273">
        <f>IF(K$4&lt;&gt;1,"",COUNTIF('ข้อมูลนักเรียน'!$E$9:$E$13,"?*")-COUNTA(K9:K13))</f>
        <v/>
      </c>
      <c r="L17" s="273">
        <f>IF(L$4&lt;&gt;1,"",COUNTIF('ข้อมูลนักเรียน'!$E$9:$E$13,"?*")-COUNTA(L9:L13))</f>
        <v/>
      </c>
      <c r="M17" s="273">
        <f>IF(M$4&lt;&gt;1,"",COUNTIF('ข้อมูลนักเรียน'!$E$9:$E$13,"?*")-COUNTA(M9:M13))</f>
        <v/>
      </c>
      <c r="N17" s="273">
        <f>IF(N$4&lt;&gt;1,"",COUNTIF('ข้อมูลนักเรียน'!$E$9:$E$13,"?*")-COUNTA(N9:N13))</f>
        <v/>
      </c>
      <c r="O17" s="273">
        <f>IF(O$4&lt;&gt;1,"",COUNTIF('ข้อมูลนักเรียน'!$E$9:$E$13,"?*")-COUNTA(O9:O13))</f>
        <v/>
      </c>
      <c r="P17" s="273">
        <f>IF(P$4&lt;&gt;1,"",COUNTIF('ข้อมูลนักเรียน'!$E$9:$E$13,"?*")-COUNTA(P9:P13))</f>
        <v/>
      </c>
      <c r="Q17" s="273">
        <f>IF(Q$4&lt;&gt;1,"",COUNTIF('ข้อมูลนักเรียน'!$E$9:$E$13,"?*")-COUNTA(Q9:Q13))</f>
        <v/>
      </c>
      <c r="R17" s="273">
        <f>IF(R$4&lt;&gt;1,"",COUNTIF('ข้อมูลนักเรียน'!$E$9:$E$13,"?*")-COUNTA(R9:R13))</f>
        <v/>
      </c>
      <c r="S17" s="273">
        <f>IF(S$4&lt;&gt;1,"",COUNTIF('ข้อมูลนักเรียน'!$E$9:$E$13,"?*")-COUNTA(S9:S13))</f>
        <v/>
      </c>
      <c r="T17" s="273">
        <f>IF(T$4&lt;&gt;1,"",COUNTIF('ข้อมูลนักเรียน'!$E$9:$E$13,"?*")-COUNTA(T9:T13))</f>
        <v/>
      </c>
      <c r="U17" s="273">
        <f>IF(U$4&lt;&gt;1,"",COUNTIF('ข้อมูลนักเรียน'!$E$9:$E$13,"?*")-COUNTA(U9:U13))</f>
        <v/>
      </c>
      <c r="V17" s="273">
        <f>IF(V$4&lt;&gt;1,"",COUNTIF('ข้อมูลนักเรียน'!$E$9:$E$13,"?*")-COUNTA(V9:V13))</f>
        <v/>
      </c>
      <c r="W17" s="273">
        <f>IF(W$4&lt;&gt;1,"",COUNTIF('ข้อมูลนักเรียน'!$E$9:$E$13,"?*")-COUNTA(W9:W13))</f>
        <v/>
      </c>
      <c r="X17" s="273">
        <f>IF(X$4&lt;&gt;1,"",COUNTIF('ข้อมูลนักเรียน'!$E$9:$E$13,"?*")-COUNTA(X9:X13))</f>
        <v/>
      </c>
      <c r="Y17" s="273">
        <f>IF(Y$4&lt;&gt;1,"",COUNTIF('ข้อมูลนักเรียน'!$E$9:$E$13,"?*")-COUNTA(Y9:Y13))</f>
        <v/>
      </c>
      <c r="Z17" s="273">
        <f>IF(Z$4&lt;&gt;1,"",COUNTIF('ข้อมูลนักเรียน'!$E$9:$E$13,"?*")-COUNTA(Z9:Z13))</f>
        <v/>
      </c>
      <c r="AA17" s="273">
        <f>IF(AA$4&lt;&gt;1,"",COUNTIF('ข้อมูลนักเรียน'!$E$9:$E$13,"?*")-COUNTA(AA9:AA13))</f>
        <v/>
      </c>
      <c r="AB17" s="273">
        <f>IF(AB$4&lt;&gt;1,"",COUNTIF('ข้อมูลนักเรียน'!$E$9:$E$13,"?*")-COUNTA(AB9:AB13))</f>
        <v/>
      </c>
      <c r="AC17" s="273">
        <f>IF(AC$4&lt;&gt;1,"",COUNTIF('ข้อมูลนักเรียน'!$E$9:$E$13,"?*")-COUNTA(AC9:AC13))</f>
        <v/>
      </c>
      <c r="AD17" s="273">
        <f>IF(AD$4&lt;&gt;1,"",COUNTIF('ข้อมูลนักเรียน'!$E$9:$E$13,"?*")-COUNTA(AD9:AD13))</f>
        <v/>
      </c>
      <c r="AE17" s="273">
        <f>IF(AE$4&lt;&gt;1,"",COUNTIF('ข้อมูลนักเรียน'!$E$9:$E$13,"?*")-COUNTA(AE9:AE13))</f>
        <v/>
      </c>
      <c r="AF17" s="273">
        <f>IF(AF$4&lt;&gt;1,"",COUNTIF('ข้อมูลนักเรียน'!$E$9:$E$13,"?*")-COUNTA(AF9:AF13))</f>
        <v/>
      </c>
      <c r="AG17" s="273">
        <f>IF(AG$4&lt;&gt;1,"",COUNTIF('ข้อมูลนักเรียน'!$E$9:$E$13,"?*")-COUNTA(AG9:AG13))</f>
        <v/>
      </c>
      <c r="AH17" s="273">
        <f>IF(AH$4&lt;&gt;1,"",COUNTIF('ข้อมูลนักเรียน'!$E$9:$E$13,"?*")-COUNTA(AH9:AH13))</f>
        <v/>
      </c>
      <c r="AI17" s="274" t="n"/>
      <c r="AJ17" s="275" t="n"/>
      <c r="AK17" s="276" t="n"/>
      <c r="AL17" s="272">
        <f>IF(AL$4&lt;&gt;1,"",COUNTIF('ข้อมูลนักเรียน'!$E$9:$E$13,"?*")-COUNTA(AL9:AL13))</f>
        <v/>
      </c>
      <c r="AM17" s="273">
        <f>IF(AM$4&lt;&gt;1,"",COUNTIF('ข้อมูลนักเรียน'!$E$9:$E$13,"?*")-COUNTA(AM9:AM13))</f>
        <v/>
      </c>
      <c r="AN17" s="273">
        <f>IF(AN$4&lt;&gt;1,"",COUNTIF('ข้อมูลนักเรียน'!$E$9:$E$13,"?*")-COUNTA(AN9:AN13))</f>
        <v/>
      </c>
      <c r="AO17" s="273">
        <f>IF(AO$4&lt;&gt;1,"",COUNTIF('ข้อมูลนักเรียน'!$E$9:$E$13,"?*")-COUNTA(AO9:AO13))</f>
        <v/>
      </c>
      <c r="AP17" s="273">
        <f>IF(AP$4&lt;&gt;1,"",COUNTIF('ข้อมูลนักเรียน'!$E$9:$E$13,"?*")-COUNTA(AP9:AP13))</f>
        <v/>
      </c>
      <c r="AQ17" s="273">
        <f>IF(AQ$4&lt;&gt;1,"",COUNTIF('ข้อมูลนักเรียน'!$E$9:$E$13,"?*")-COUNTA(AQ9:AQ13))</f>
        <v/>
      </c>
      <c r="AR17" s="273">
        <f>IF(AR$4&lt;&gt;1,"",COUNTIF('ข้อมูลนักเรียน'!$E$9:$E$13,"?*")-COUNTA(AR9:AR13))</f>
        <v/>
      </c>
      <c r="AS17" s="273">
        <f>IF(AS$4&lt;&gt;1,"",COUNTIF('ข้อมูลนักเรียน'!$E$9:$E$13,"?*")-COUNTA(AS9:AS13))</f>
        <v/>
      </c>
      <c r="AT17" s="273">
        <f>IF(AT$4&lt;&gt;1,"",COUNTIF('ข้อมูลนักเรียน'!$E$9:$E$13,"?*")-COUNTA(AT9:AT13))</f>
        <v/>
      </c>
      <c r="AU17" s="273">
        <f>IF(AU$4&lt;&gt;1,"",COUNTIF('ข้อมูลนักเรียน'!$E$9:$E$13,"?*")-COUNTA(AU9:AU13))</f>
        <v/>
      </c>
      <c r="AV17" s="273">
        <f>IF(AV$4&lt;&gt;1,"",COUNTIF('ข้อมูลนักเรียน'!$E$9:$E$13,"?*")-COUNTA(AV9:AV13))</f>
        <v/>
      </c>
      <c r="AW17" s="273">
        <f>IF(AW$4&lt;&gt;1,"",COUNTIF('ข้อมูลนักเรียน'!$E$9:$E$13,"?*")-COUNTA(AW9:AW13))</f>
        <v/>
      </c>
      <c r="AX17" s="273">
        <f>IF(AX$4&lt;&gt;1,"",COUNTIF('ข้อมูลนักเรียน'!$E$9:$E$13,"?*")-COUNTA(AX9:AX13))</f>
        <v/>
      </c>
      <c r="AY17" s="273">
        <f>IF(AY$4&lt;&gt;1,"",COUNTIF('ข้อมูลนักเรียน'!$E$9:$E$13,"?*")-COUNTA(AY9:AY13))</f>
        <v/>
      </c>
      <c r="AZ17" s="273">
        <f>IF(AZ$4&lt;&gt;1,"",COUNTIF('ข้อมูลนักเรียน'!$E$9:$E$13,"?*")-COUNTA(AZ9:AZ13))</f>
        <v/>
      </c>
      <c r="BA17" s="273">
        <f>IF(BA$4&lt;&gt;1,"",COUNTIF('ข้อมูลนักเรียน'!$E$9:$E$13,"?*")-COUNTA(BA9:BA13))</f>
        <v/>
      </c>
      <c r="BB17" s="273">
        <f>IF(BB$4&lt;&gt;1,"",COUNTIF('ข้อมูลนักเรียน'!$E$9:$E$13,"?*")-COUNTA(BB9:BB13))</f>
        <v/>
      </c>
      <c r="BC17" s="273">
        <f>IF(BC$4&lt;&gt;1,"",COUNTIF('ข้อมูลนักเรียน'!$E$9:$E$13,"?*")-COUNTA(BC9:BC13))</f>
        <v/>
      </c>
      <c r="BD17" s="273">
        <f>IF(BD$4&lt;&gt;1,"",COUNTIF('ข้อมูลนักเรียน'!$E$9:$E$13,"?*")-COUNTA(BD9:BD13))</f>
        <v/>
      </c>
      <c r="BE17" s="273">
        <f>IF(BE$4&lt;&gt;1,"",COUNTIF('ข้อมูลนักเรียน'!$E$9:$E$13,"?*")-COUNTA(BE9:BE13))</f>
        <v/>
      </c>
      <c r="BF17" s="273">
        <f>IF(BF$4&lt;&gt;1,"",COUNTIF('ข้อมูลนักเรียน'!$E$9:$E$13,"?*")-COUNTA(BF9:BF13))</f>
        <v/>
      </c>
      <c r="BG17" s="273">
        <f>IF(BG$4&lt;&gt;1,"",COUNTIF('ข้อมูลนักเรียน'!$E$9:$E$13,"?*")-COUNTA(BG9:BG13))</f>
        <v/>
      </c>
      <c r="BH17" s="273">
        <f>IF(BH$4&lt;&gt;1,"",COUNTIF('ข้อมูลนักเรียน'!$E$9:$E$13,"?*")-COUNTA(BH9:BH13))</f>
        <v/>
      </c>
      <c r="BI17" s="273">
        <f>IF(BI$4&lt;&gt;1,"",COUNTIF('ข้อมูลนักเรียน'!$E$9:$E$13,"?*")-COUNTA(BI9:BI13))</f>
        <v/>
      </c>
      <c r="BJ17" s="273">
        <f>IF(BJ$4&lt;&gt;1,"",COUNTIF('ข้อมูลนักเรียน'!$E$9:$E$13,"?*")-COUNTA(BJ9:BJ13))</f>
        <v/>
      </c>
      <c r="BK17" s="273">
        <f>IF(BK$4&lt;&gt;1,"",COUNTIF('ข้อมูลนักเรียน'!$E$9:$E$13,"?*")-COUNTA(BK9:BK13))</f>
        <v/>
      </c>
      <c r="BL17" s="273">
        <f>IF(BL$4&lt;&gt;1,"",COUNTIF('ข้อมูลนักเรียน'!$E$9:$E$13,"?*")-COUNTA(BL9:BL13))</f>
        <v/>
      </c>
      <c r="BM17" s="273">
        <f>IF(BM$4&lt;&gt;1,"",COUNTIF('ข้อมูลนักเรียน'!$E$9:$E$13,"?*")-COUNTA(BM9:BM13))</f>
        <v/>
      </c>
      <c r="BN17" s="273">
        <f>IF(BN$4&lt;&gt;1,"",COUNTIF('ข้อมูลนักเรียน'!$E$9:$E$13,"?*")-COUNTA(BN9:BN13))</f>
        <v/>
      </c>
      <c r="BO17" s="273">
        <f>IF(BO$4&lt;&gt;1,"",COUNTIF('ข้อมูลนักเรียน'!$E$9:$E$13,"?*")-COUNTA(BO9:BO13))</f>
        <v/>
      </c>
      <c r="BP17" s="273">
        <f>IF(BP$4&lt;&gt;1,"",COUNTIF('ข้อมูลนักเรียน'!$E$9:$E$13,"?*")-COUNTA(BP9:BP13))</f>
        <v/>
      </c>
      <c r="BQ17" s="274" t="n"/>
      <c r="BR17" s="275" t="n"/>
      <c r="BS17" s="276" t="n"/>
      <c r="BT17" s="272">
        <f>IF(BT$4&lt;&gt;1,"",COUNTIF('ข้อมูลนักเรียน'!$E$9:$E$13,"?*")-COUNTA(BT9:BT13))</f>
        <v/>
      </c>
      <c r="BU17" s="273">
        <f>IF(BU$4&lt;&gt;1,"",COUNTIF('ข้อมูลนักเรียน'!$E$9:$E$13,"?*")-COUNTA(BU9:BU13))</f>
        <v/>
      </c>
      <c r="BV17" s="273">
        <f>IF(BV$4&lt;&gt;1,"",COUNTIF('ข้อมูลนักเรียน'!$E$9:$E$13,"?*")-COUNTA(BV9:BV13))</f>
        <v/>
      </c>
      <c r="BW17" s="273">
        <f>IF(BW$4&lt;&gt;1,"",COUNTIF('ข้อมูลนักเรียน'!$E$9:$E$13,"?*")-COUNTA(BW9:BW13))</f>
        <v/>
      </c>
      <c r="BX17" s="273">
        <f>IF(BX$4&lt;&gt;1,"",COUNTIF('ข้อมูลนักเรียน'!$E$9:$E$13,"?*")-COUNTA(BX9:BX13))</f>
        <v/>
      </c>
      <c r="BY17" s="273">
        <f>IF(BY$4&lt;&gt;1,"",COUNTIF('ข้อมูลนักเรียน'!$E$9:$E$13,"?*")-COUNTA(BY9:BY13))</f>
        <v/>
      </c>
      <c r="BZ17" s="273">
        <f>IF(BZ$4&lt;&gt;1,"",COUNTIF('ข้อมูลนักเรียน'!$E$9:$E$13,"?*")-COUNTA(BZ9:BZ13))</f>
        <v/>
      </c>
      <c r="CA17" s="273">
        <f>IF(CA$4&lt;&gt;1,"",COUNTIF('ข้อมูลนักเรียน'!$E$9:$E$13,"?*")-COUNTA(CA9:CA13))</f>
        <v/>
      </c>
      <c r="CB17" s="273">
        <f>IF(CB$4&lt;&gt;1,"",COUNTIF('ข้อมูลนักเรียน'!$E$9:$E$13,"?*")-COUNTA(CB9:CB13))</f>
        <v/>
      </c>
      <c r="CC17" s="273">
        <f>IF(CC$4&lt;&gt;1,"",COUNTIF('ข้อมูลนักเรียน'!$E$9:$E$13,"?*")-COUNTA(CC9:CC13))</f>
        <v/>
      </c>
      <c r="CD17" s="273">
        <f>IF(CD$4&lt;&gt;1,"",COUNTIF('ข้อมูลนักเรียน'!$E$9:$E$13,"?*")-COUNTA(CD9:CD13))</f>
        <v/>
      </c>
      <c r="CE17" s="273">
        <f>IF(CE$4&lt;&gt;1,"",COUNTIF('ข้อมูลนักเรียน'!$E$9:$E$13,"?*")-COUNTA(CE9:CE13))</f>
        <v/>
      </c>
      <c r="CF17" s="273">
        <f>IF(CF$4&lt;&gt;1,"",COUNTIF('ข้อมูลนักเรียน'!$E$9:$E$13,"?*")-COUNTA(CF9:CF13))</f>
        <v/>
      </c>
      <c r="CG17" s="273">
        <f>IF(CG$4&lt;&gt;1,"",COUNTIF('ข้อมูลนักเรียน'!$E$9:$E$13,"?*")-COUNTA(CG9:CG13))</f>
        <v/>
      </c>
      <c r="CH17" s="273">
        <f>IF(CH$4&lt;&gt;1,"",COUNTIF('ข้อมูลนักเรียน'!$E$9:$E$13,"?*")-COUNTA(CH9:CH13))</f>
        <v/>
      </c>
      <c r="CI17" s="273">
        <f>IF(CI$4&lt;&gt;1,"",COUNTIF('ข้อมูลนักเรียน'!$E$9:$E$13,"?*")-COUNTA(CI9:CI13))</f>
        <v/>
      </c>
      <c r="CJ17" s="273">
        <f>IF(CJ$4&lt;&gt;1,"",COUNTIF('ข้อมูลนักเรียน'!$E$9:$E$13,"?*")-COUNTA(CJ9:CJ13))</f>
        <v/>
      </c>
      <c r="CK17" s="273">
        <f>IF(CK$4&lt;&gt;1,"",COUNTIF('ข้อมูลนักเรียน'!$E$9:$E$13,"?*")-COUNTA(CK9:CK13))</f>
        <v/>
      </c>
      <c r="CL17" s="273">
        <f>IF(CL$4&lt;&gt;1,"",COUNTIF('ข้อมูลนักเรียน'!$E$9:$E$13,"?*")-COUNTA(CL9:CL13))</f>
        <v/>
      </c>
      <c r="CM17" s="273">
        <f>IF(CM$4&lt;&gt;1,"",COUNTIF('ข้อมูลนักเรียน'!$E$9:$E$13,"?*")-COUNTA(CM9:CM13))</f>
        <v/>
      </c>
      <c r="CN17" s="273">
        <f>IF(CN$4&lt;&gt;1,"",COUNTIF('ข้อมูลนักเรียน'!$E$9:$E$13,"?*")-COUNTA(CN9:CN13))</f>
        <v/>
      </c>
      <c r="CO17" s="273">
        <f>IF(CO$4&lt;&gt;1,"",COUNTIF('ข้อมูลนักเรียน'!$E$9:$E$13,"?*")-COUNTA(CO9:CO13))</f>
        <v/>
      </c>
      <c r="CP17" s="273">
        <f>IF(CP$4&lt;&gt;1,"",COUNTIF('ข้อมูลนักเรียน'!$E$9:$E$13,"?*")-COUNTA(CP9:CP13))</f>
        <v/>
      </c>
      <c r="CQ17" s="273">
        <f>IF(CQ$4&lt;&gt;1,"",COUNTIF('ข้อมูลนักเรียน'!$E$9:$E$13,"?*")-COUNTA(CQ9:CQ13))</f>
        <v/>
      </c>
      <c r="CR17" s="273">
        <f>IF(CR$4&lt;&gt;1,"",COUNTIF('ข้อมูลนักเรียน'!$E$9:$E$13,"?*")-COUNTA(CR9:CR13))</f>
        <v/>
      </c>
      <c r="CS17" s="273">
        <f>IF(CS$4&lt;&gt;1,"",COUNTIF('ข้อมูลนักเรียน'!$E$9:$E$13,"?*")-COUNTA(CS9:CS13))</f>
        <v/>
      </c>
      <c r="CT17" s="273">
        <f>IF(CT$4&lt;&gt;1,"",COUNTIF('ข้อมูลนักเรียน'!$E$9:$E$13,"?*")-COUNTA(CT9:CT13))</f>
        <v/>
      </c>
      <c r="CU17" s="273">
        <f>IF(CU$4&lt;&gt;1,"",COUNTIF('ข้อมูลนักเรียน'!$E$9:$E$13,"?*")-COUNTA(CU9:CU13))</f>
        <v/>
      </c>
      <c r="CV17" s="273">
        <f>IF(CV$4&lt;&gt;1,"",COUNTIF('ข้อมูลนักเรียน'!$E$9:$E$13,"?*")-COUNTA(CV9:CV13))</f>
        <v/>
      </c>
      <c r="CW17" s="273">
        <f>IF(CW$4&lt;&gt;1,"",COUNTIF('ข้อมูลนักเรียน'!$E$9:$E$13,"?*")-COUNTA(CW9:CW13))</f>
        <v/>
      </c>
      <c r="CX17" s="273">
        <f>IF(CX$4&lt;&gt;1,"",COUNTIF('ข้อมูลนักเรียน'!$E$9:$E$13,"?*")-COUNTA(CX9:CX13))</f>
        <v/>
      </c>
      <c r="CY17" s="274" t="n"/>
      <c r="CZ17" s="275" t="n"/>
      <c r="DA17" s="276" t="n"/>
      <c r="DB17" s="272">
        <f>IF(DB$4&lt;&gt;1,"",COUNTIF('ข้อมูลนักเรียน'!$E$9:$E$13,"?*")-COUNTA(DB9:DB13))</f>
        <v/>
      </c>
      <c r="DC17" s="273">
        <f>IF(DC$4&lt;&gt;1,"",COUNTIF('ข้อมูลนักเรียน'!$E$9:$E$13,"?*")-COUNTA(DC9:DC13))</f>
        <v/>
      </c>
      <c r="DD17" s="273">
        <f>IF(DD$4&lt;&gt;1,"",COUNTIF('ข้อมูลนักเรียน'!$E$9:$E$13,"?*")-COUNTA(DD9:DD13))</f>
        <v/>
      </c>
      <c r="DE17" s="273">
        <f>IF(DE$4&lt;&gt;1,"",COUNTIF('ข้อมูลนักเรียน'!$E$9:$E$13,"?*")-COUNTA(DE9:DE13))</f>
        <v/>
      </c>
      <c r="DF17" s="273">
        <f>IF(DF$4&lt;&gt;1,"",COUNTIF('ข้อมูลนักเรียน'!$E$9:$E$13,"?*")-COUNTA(DF9:DF13))</f>
        <v/>
      </c>
      <c r="DG17" s="273">
        <f>IF(DG$4&lt;&gt;1,"",COUNTIF('ข้อมูลนักเรียน'!$E$9:$E$13,"?*")-COUNTA(DG9:DG13))</f>
        <v/>
      </c>
      <c r="DH17" s="273">
        <f>IF(DH$4&lt;&gt;1,"",COUNTIF('ข้อมูลนักเรียน'!$E$9:$E$13,"?*")-COUNTA(DH9:DH13))</f>
        <v/>
      </c>
      <c r="DI17" s="273">
        <f>IF(DI$4&lt;&gt;1,"",COUNTIF('ข้อมูลนักเรียน'!$E$9:$E$13,"?*")-COUNTA(DI9:DI13))</f>
        <v/>
      </c>
      <c r="DJ17" s="273">
        <f>IF(DJ$4&lt;&gt;1,"",COUNTIF('ข้อมูลนักเรียน'!$E$9:$E$13,"?*")-COUNTA(DJ9:DJ13))</f>
        <v/>
      </c>
      <c r="DK17" s="273">
        <f>IF(DK$4&lt;&gt;1,"",COUNTIF('ข้อมูลนักเรียน'!$E$9:$E$13,"?*")-COUNTA(DK9:DK13))</f>
        <v/>
      </c>
      <c r="DL17" s="273">
        <f>IF(DL$4&lt;&gt;1,"",COUNTIF('ข้อมูลนักเรียน'!$E$9:$E$13,"?*")-COUNTA(DL9:DL13))</f>
        <v/>
      </c>
      <c r="DM17" s="273">
        <f>IF(DM$4&lt;&gt;1,"",COUNTIF('ข้อมูลนักเรียน'!$E$9:$E$13,"?*")-COUNTA(DM9:DM13))</f>
        <v/>
      </c>
      <c r="DN17" s="273">
        <f>IF(DN$4&lt;&gt;1,"",COUNTIF('ข้อมูลนักเรียน'!$E$9:$E$13,"?*")-COUNTA(DN9:DN13))</f>
        <v/>
      </c>
      <c r="DO17" s="273">
        <f>IF(DO$4&lt;&gt;1,"",COUNTIF('ข้อมูลนักเรียน'!$E$9:$E$13,"?*")-COUNTA(DO9:DO13))</f>
        <v/>
      </c>
      <c r="DP17" s="273">
        <f>IF(DP$4&lt;&gt;1,"",COUNTIF('ข้อมูลนักเรียน'!$E$9:$E$13,"?*")-COUNTA(DP9:DP13))</f>
        <v/>
      </c>
      <c r="DQ17" s="273">
        <f>IF(DQ$4&lt;&gt;1,"",COUNTIF('ข้อมูลนักเรียน'!$E$9:$E$13,"?*")-COUNTA(DQ9:DQ13))</f>
        <v/>
      </c>
      <c r="DR17" s="273">
        <f>IF(DR$4&lt;&gt;1,"",COUNTIF('ข้อมูลนักเรียน'!$E$9:$E$13,"?*")-COUNTA(DR9:DR13))</f>
        <v/>
      </c>
      <c r="DS17" s="273">
        <f>IF(DS$4&lt;&gt;1,"",COUNTIF('ข้อมูลนักเรียน'!$E$9:$E$13,"?*")-COUNTA(DS9:DS13))</f>
        <v/>
      </c>
      <c r="DT17" s="273">
        <f>IF(DT$4&lt;&gt;1,"",COUNTIF('ข้อมูลนักเรียน'!$E$9:$E$13,"?*")-COUNTA(DT9:DT13))</f>
        <v/>
      </c>
      <c r="DU17" s="273">
        <f>IF(DU$4&lt;&gt;1,"",COUNTIF('ข้อมูลนักเรียน'!$E$9:$E$13,"?*")-COUNTA(DU9:DU13))</f>
        <v/>
      </c>
      <c r="DV17" s="273">
        <f>IF(DV$4&lt;&gt;1,"",COUNTIF('ข้อมูลนักเรียน'!$E$9:$E$13,"?*")-COUNTA(DV9:DV13))</f>
        <v/>
      </c>
      <c r="DW17" s="273">
        <f>IF(DW$4&lt;&gt;1,"",COUNTIF('ข้อมูลนักเรียน'!$E$9:$E$13,"?*")-COUNTA(DW9:DW13))</f>
        <v/>
      </c>
      <c r="DX17" s="273">
        <f>IF(DX$4&lt;&gt;1,"",COUNTIF('ข้อมูลนักเรียน'!$E$9:$E$13,"?*")-COUNTA(DX9:DX13))</f>
        <v/>
      </c>
      <c r="DY17" s="273">
        <f>IF(DY$4&lt;&gt;1,"",COUNTIF('ข้อมูลนักเรียน'!$E$9:$E$13,"?*")-COUNTA(DY9:DY13))</f>
        <v/>
      </c>
      <c r="DZ17" s="273">
        <f>IF(DZ$4&lt;&gt;1,"",COUNTIF('ข้อมูลนักเรียน'!$E$9:$E$13,"?*")-COUNTA(DZ9:DZ13))</f>
        <v/>
      </c>
      <c r="EA17" s="273">
        <f>IF(EA$4&lt;&gt;1,"",COUNTIF('ข้อมูลนักเรียน'!$E$9:$E$13,"?*")-COUNTA(EA9:EA13))</f>
        <v/>
      </c>
      <c r="EB17" s="273">
        <f>IF(EB$4&lt;&gt;1,"",COUNTIF('ข้อมูลนักเรียน'!$E$9:$E$13,"?*")-COUNTA(EB9:EB13))</f>
        <v/>
      </c>
      <c r="EC17" s="273">
        <f>IF(EC$4&lt;&gt;1,"",COUNTIF('ข้อมูลนักเรียน'!$E$9:$E$13,"?*")-COUNTA(EC9:EC13))</f>
        <v/>
      </c>
      <c r="ED17" s="273">
        <f>IF(ED$4&lt;&gt;1,"",COUNTIF('ข้อมูลนักเรียน'!$E$9:$E$13,"?*")-COUNTA(ED9:ED13))</f>
        <v/>
      </c>
      <c r="EE17" s="273">
        <f>IF(EE$4&lt;&gt;1,"",COUNTIF('ข้อมูลนักเรียน'!$E$9:$E$13,"?*")-COUNTA(EE9:EE13))</f>
        <v/>
      </c>
      <c r="EF17" s="273">
        <f>IF(EF$4&lt;&gt;1,"",COUNTIF('ข้อมูลนักเรียน'!$E$9:$E$13,"?*")-COUNTA(EF9:EF13))</f>
        <v/>
      </c>
      <c r="EG17" s="274" t="n"/>
      <c r="EH17" s="275" t="n"/>
      <c r="EI17" s="276" t="n"/>
      <c r="EJ17" s="272">
        <f>IF(EJ$4&lt;&gt;1,"",COUNTIF('ข้อมูลนักเรียน'!$E$9:$E$13,"?*")-COUNTA(EJ9:EJ13))</f>
        <v/>
      </c>
      <c r="EK17" s="273">
        <f>IF(EK$4&lt;&gt;1,"",COUNTIF('ข้อมูลนักเรียน'!$E$9:$E$13,"?*")-COUNTA(EK9:EK13))</f>
        <v/>
      </c>
      <c r="EL17" s="273">
        <f>IF(EL$4&lt;&gt;1,"",COUNTIF('ข้อมูลนักเรียน'!$E$9:$E$13,"?*")-COUNTA(EL9:EL13))</f>
        <v/>
      </c>
      <c r="EM17" s="273">
        <f>IF(EM$4&lt;&gt;1,"",COUNTIF('ข้อมูลนักเรียน'!$E$9:$E$13,"?*")-COUNTA(EM9:EM13))</f>
        <v/>
      </c>
      <c r="EN17" s="273">
        <f>IF(EN$4&lt;&gt;1,"",COUNTIF('ข้อมูลนักเรียน'!$E$9:$E$13,"?*")-COUNTA(EN9:EN13))</f>
        <v/>
      </c>
      <c r="EO17" s="273">
        <f>IF(EO$4&lt;&gt;1,"",COUNTIF('ข้อมูลนักเรียน'!$E$9:$E$13,"?*")-COUNTA(EO9:EO13))</f>
        <v/>
      </c>
      <c r="EP17" s="273">
        <f>IF(EP$4&lt;&gt;1,"",COUNTIF('ข้อมูลนักเรียน'!$E$9:$E$13,"?*")-COUNTA(EP9:EP13))</f>
        <v/>
      </c>
      <c r="EQ17" s="273">
        <f>IF(EQ$4&lt;&gt;1,"",COUNTIF('ข้อมูลนักเรียน'!$E$9:$E$13,"?*")-COUNTA(EQ9:EQ13))</f>
        <v/>
      </c>
      <c r="ER17" s="273">
        <f>IF(ER$4&lt;&gt;1,"",COUNTIF('ข้อมูลนักเรียน'!$E$9:$E$13,"?*")-COUNTA(ER9:ER13))</f>
        <v/>
      </c>
      <c r="ES17" s="273">
        <f>IF(ES$4&lt;&gt;1,"",COUNTIF('ข้อมูลนักเรียน'!$E$9:$E$13,"?*")-COUNTA(ES9:ES13))</f>
        <v/>
      </c>
      <c r="ET17" s="273">
        <f>IF(ET$4&lt;&gt;1,"",COUNTIF('ข้อมูลนักเรียน'!$E$9:$E$13,"?*")-COUNTA(ET9:ET13))</f>
        <v/>
      </c>
      <c r="EU17" s="273">
        <f>IF(EU$4&lt;&gt;1,"",COUNTIF('ข้อมูลนักเรียน'!$E$9:$E$13,"?*")-COUNTA(EU9:EU13))</f>
        <v/>
      </c>
      <c r="EV17" s="273">
        <f>IF(EV$4&lt;&gt;1,"",COUNTIF('ข้อมูลนักเรียน'!$E$9:$E$13,"?*")-COUNTA(EV9:EV13))</f>
        <v/>
      </c>
      <c r="EW17" s="273">
        <f>IF(EW$4&lt;&gt;1,"",COUNTIF('ข้อมูลนักเรียน'!$E$9:$E$13,"?*")-COUNTA(EW9:EW13))</f>
        <v/>
      </c>
      <c r="EX17" s="273">
        <f>IF(EX$4&lt;&gt;1,"",COUNTIF('ข้อมูลนักเรียน'!$E$9:$E$13,"?*")-COUNTA(EX9:EX13))</f>
        <v/>
      </c>
      <c r="EY17" s="273">
        <f>IF(EY$4&lt;&gt;1,"",COUNTIF('ข้อมูลนักเรียน'!$E$9:$E$13,"?*")-COUNTA(EY9:EY13))</f>
        <v/>
      </c>
      <c r="EZ17" s="273">
        <f>IF(EZ$4&lt;&gt;1,"",COUNTIF('ข้อมูลนักเรียน'!$E$9:$E$13,"?*")-COUNTA(EZ9:EZ13))</f>
        <v/>
      </c>
      <c r="FA17" s="273">
        <f>IF(FA$4&lt;&gt;1,"",COUNTIF('ข้อมูลนักเรียน'!$E$9:$E$13,"?*")-COUNTA(FA9:FA13))</f>
        <v/>
      </c>
      <c r="FB17" s="273">
        <f>IF(FB$4&lt;&gt;1,"",COUNTIF('ข้อมูลนักเรียน'!$E$9:$E$13,"?*")-COUNTA(FB9:FB13))</f>
        <v/>
      </c>
      <c r="FC17" s="273">
        <f>IF(FC$4&lt;&gt;1,"",COUNTIF('ข้อมูลนักเรียน'!$E$9:$E$13,"?*")-COUNTA(FC9:FC13))</f>
        <v/>
      </c>
      <c r="FD17" s="273">
        <f>IF(FD$4&lt;&gt;1,"",COUNTIF('ข้อมูลนักเรียน'!$E$9:$E$13,"?*")-COUNTA(FD9:FD13))</f>
        <v/>
      </c>
      <c r="FE17" s="273">
        <f>IF(FE$4&lt;&gt;1,"",COUNTIF('ข้อมูลนักเรียน'!$E$9:$E$13,"?*")-COUNTA(FE9:FE13))</f>
        <v/>
      </c>
      <c r="FF17" s="273">
        <f>IF(FF$4&lt;&gt;1,"",COUNTIF('ข้อมูลนักเรียน'!$E$9:$E$13,"?*")-COUNTA(FF9:FF13))</f>
        <v/>
      </c>
      <c r="FG17" s="273">
        <f>IF(FG$4&lt;&gt;1,"",COUNTIF('ข้อมูลนักเรียน'!$E$9:$E$13,"?*")-COUNTA(FG9:FG13))</f>
        <v/>
      </c>
      <c r="FH17" s="273">
        <f>IF(FH$4&lt;&gt;1,"",COUNTIF('ข้อมูลนักเรียน'!$E$9:$E$13,"?*")-COUNTA(FH9:FH13))</f>
        <v/>
      </c>
      <c r="FI17" s="273">
        <f>IF(FI$4&lt;&gt;1,"",COUNTIF('ข้อมูลนักเรียน'!$E$9:$E$13,"?*")-COUNTA(FI9:FI13))</f>
        <v/>
      </c>
      <c r="FJ17" s="273">
        <f>IF(FJ$4&lt;&gt;1,"",COUNTIF('ข้อมูลนักเรียน'!$E$9:$E$13,"?*")-COUNTA(FJ9:FJ13))</f>
        <v/>
      </c>
      <c r="FK17" s="273">
        <f>IF(FK$4&lt;&gt;1,"",COUNTIF('ข้อมูลนักเรียน'!$E$9:$E$13,"?*")-COUNTA(FK9:FK13))</f>
        <v/>
      </c>
      <c r="FL17" s="273">
        <f>IF(FL$4&lt;&gt;1,"",COUNTIF('ข้อมูลนักเรียน'!$E$9:$E$13,"?*")-COUNTA(FL9:FL13))</f>
        <v/>
      </c>
      <c r="FM17" s="273">
        <f>IF(FM$4&lt;&gt;1,"",COUNTIF('ข้อมูลนักเรียน'!$E$9:$E$13,"?*")-COUNTA(FM9:FM13))</f>
        <v/>
      </c>
      <c r="FN17" s="273">
        <f>IF(FN$4&lt;&gt;1,"",COUNTIF('ข้อมูลนักเรียน'!$E$9:$E$13,"?*")-COUNTA(FN9:FN13))</f>
        <v/>
      </c>
      <c r="FO17" s="274" t="n"/>
      <c r="FP17" s="275" t="n"/>
      <c r="FQ17" s="27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</conditionalFormatting>
  <dataValidations count="5">
    <dataValidation sqref="D9:AH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AL9:BP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BT9:CX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DB9:EF13" showDropDown="0" showInputMessage="0" showErrorMessage="0" allowBlank="1" errorTitle="ตรวจสอบข้อมูล" error="ใช้รหัส: ม  ส  ล  ป  ข" type="list">
      <formula1>"ม,ส,ล,ป,ข"</formula1>
    </dataValidation>
    <dataValidation sqref="EJ9:FN13" showDropDown="0" showInputMessage="0" showErrorMessage="0" allowBlank="1" errorTitle="ตรวจสอบข้อมูล" error="ใช้รหัส: ม  ส  ล  ป  ข" type="list">
      <formula1>"ม,ส,ล,ป,ข"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FF9797"/>
    <outlinePr summaryBelow="1" summaryRight="1"/>
    <pageSetUpPr fitToPage="1"/>
  </sheetPr>
  <dimension ref="A1:Z19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6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.5" customWidth="1" min="10" max="10"/>
    <col width="7.5" customWidth="1" min="11" max="11"/>
    <col width="7.5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.5" customWidth="1" min="18" max="18"/>
    <col width="7.5" customWidth="1" min="19" max="19"/>
    <col width="7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8" customWidth="1" min="26" max="26"/>
  </cols>
  <sheetData>
    <row r="1" ht="48" customHeight="1">
      <c r="A1" s="247" t="inlineStr">
        <is>
          <t>🏠</t>
        </is>
      </c>
      <c r="B1" s="248" t="n"/>
      <c r="C1" s="248" t="n"/>
      <c r="D1" s="248" t="n"/>
      <c r="E1" s="248" t="n"/>
      <c r="F1" s="248" t="n"/>
      <c r="G1" s="248" t="n"/>
      <c r="H1" s="248" t="n"/>
      <c r="I1" s="248" t="n"/>
      <c r="J1" s="248" t="n"/>
      <c r="K1" s="248" t="n"/>
      <c r="L1" s="248" t="n"/>
      <c r="M1" s="248" t="n"/>
      <c r="N1" s="248" t="n"/>
      <c r="O1" s="248" t="n"/>
      <c r="P1" s="248" t="n"/>
      <c r="Q1" s="248" t="n"/>
      <c r="R1" s="248" t="n"/>
      <c r="S1" s="248" t="n"/>
      <c r="T1" s="248" t="n"/>
      <c r="U1" s="248" t="n"/>
      <c r="V1" s="248" t="n"/>
      <c r="W1" s="248" t="n"/>
      <c r="X1" s="248" t="n"/>
      <c r="Y1" s="248" t="n"/>
      <c r="Z1" s="248" t="n"/>
    </row>
    <row r="2" ht="20" customHeight="1">
      <c r="A2" s="249" t="inlineStr">
        <is>
          <t>หน้าหลัก</t>
        </is>
      </c>
      <c r="B2" s="25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251" t="n"/>
      <c r="D2" s="251" t="n"/>
      <c r="E2" s="251" t="n"/>
      <c r="F2" s="251" t="n"/>
      <c r="G2" s="251" t="n"/>
      <c r="H2" s="251" t="n"/>
      <c r="I2" s="251" t="n"/>
      <c r="J2" s="251" t="n"/>
      <c r="K2" s="251" t="n"/>
      <c r="L2" s="251" t="n"/>
      <c r="M2" s="251" t="n"/>
      <c r="N2" s="251" t="n"/>
      <c r="O2" s="251" t="n"/>
      <c r="P2" s="251" t="n"/>
      <c r="Q2" s="251" t="n"/>
      <c r="R2" s="251" t="n"/>
      <c r="S2" s="251" t="n"/>
      <c r="T2" s="251" t="n"/>
      <c r="U2" s="251" t="n"/>
      <c r="V2" s="251" t="n"/>
      <c r="W2" s="251" t="n"/>
      <c r="X2" s="251" t="n"/>
      <c r="Y2" s="251" t="n"/>
      <c r="Z2" s="251" t="n"/>
    </row>
    <row r="3">
      <c r="B3" s="252" t="inlineStr">
        <is>
          <t>คำนวณอัตโนมัติจากแบบบันทึกการมาเรียน  •  “มา” นับรวมมาสาย  •  ร้อยละคิดจากวันที่บันทึกแล้ว</t>
        </is>
      </c>
    </row>
    <row r="4"/>
    <row r="5" ht="22" customHeight="1">
      <c r="A5" s="253" t="inlineStr">
        <is>
          <t>เลขที่</t>
        </is>
      </c>
      <c r="B5" s="253" t="inlineStr">
        <is>
          <t>ชื่อ - สกุล</t>
        </is>
      </c>
      <c r="C5" s="278" t="inlineStr">
        <is>
          <t>เพศ</t>
        </is>
      </c>
      <c r="D5" s="279" t="inlineStr">
        <is>
          <t>ภาคเรียนที่ 1</t>
        </is>
      </c>
      <c r="M5" s="280" t="inlineStr">
        <is>
          <t>ภาคเรียนที่ 2</t>
        </is>
      </c>
      <c r="U5" s="281" t="inlineStr">
        <is>
          <t>รวมทั้งปีการศึกษา</t>
        </is>
      </c>
    </row>
    <row r="6">
      <c r="D6" s="282" t="inlineStr">
        <is>
          <t>พ.ค.</t>
        </is>
      </c>
      <c r="E6" s="282" t="inlineStr">
        <is>
          <t>มิ.ย.</t>
        </is>
      </c>
      <c r="F6" s="282" t="inlineStr">
        <is>
          <t>ก.ค.</t>
        </is>
      </c>
      <c r="G6" s="282" t="inlineStr">
        <is>
          <t>ส.ค.</t>
        </is>
      </c>
      <c r="H6" s="282" t="inlineStr">
        <is>
          <t>ก.ย.</t>
        </is>
      </c>
      <c r="I6" s="282" t="inlineStr">
        <is>
          <t>ต.ค.</t>
        </is>
      </c>
      <c r="J6" s="283" t="inlineStr">
        <is>
          <t>รวม
มา</t>
        </is>
      </c>
      <c r="K6" s="283" t="inlineStr">
        <is>
          <t>ไม่มา</t>
        </is>
      </c>
      <c r="L6" s="283" t="inlineStr">
        <is>
          <t>ร้อยละ</t>
        </is>
      </c>
      <c r="M6" s="282" t="inlineStr">
        <is>
          <t>พ.ย.</t>
        </is>
      </c>
      <c r="N6" s="282" t="inlineStr">
        <is>
          <t>ธ.ค.</t>
        </is>
      </c>
      <c r="O6" s="282" t="inlineStr">
        <is>
          <t>ม.ค.</t>
        </is>
      </c>
      <c r="P6" s="282" t="inlineStr">
        <is>
          <t>ก.พ.</t>
        </is>
      </c>
      <c r="Q6" s="282" t="inlineStr">
        <is>
          <t>มี.ค.</t>
        </is>
      </c>
      <c r="R6" s="283" t="inlineStr">
        <is>
          <t>รวม
มา</t>
        </is>
      </c>
      <c r="S6" s="283" t="inlineStr">
        <is>
          <t>ไม่มา</t>
        </is>
      </c>
      <c r="T6" s="283" t="inlineStr">
        <is>
          <t>ร้อยละ</t>
        </is>
      </c>
      <c r="U6" s="284" t="inlineStr">
        <is>
          <t>มา</t>
        </is>
      </c>
      <c r="V6" s="284" t="inlineStr">
        <is>
          <t>สาย</t>
        </is>
      </c>
      <c r="W6" s="284" t="inlineStr">
        <is>
          <t>ลา</t>
        </is>
      </c>
      <c r="X6" s="284" t="inlineStr">
        <is>
          <t>ป่วย</t>
        </is>
      </c>
      <c r="Y6" s="284" t="inlineStr">
        <is>
          <t>ขาด</t>
        </is>
      </c>
      <c r="Z6" s="285" t="inlineStr">
        <is>
          <t>ร้อยละ
ทั้งปี</t>
        </is>
      </c>
    </row>
    <row r="7">
      <c r="D7" s="286">
        <f>"เรียน"&amp;CHAR(10)&amp;COUNTIF('ปฏิทิน'!$D$2:$AH$2,1)&amp;" วัน"</f>
        <v/>
      </c>
      <c r="E7" s="286">
        <f>"เรียน"&amp;CHAR(10)&amp;COUNTIF('ปฏิทิน'!$AL$2:$BP$2,1)&amp;" วัน"</f>
        <v/>
      </c>
      <c r="F7" s="286">
        <f>"เรียน"&amp;CHAR(10)&amp;COUNTIF('ปฏิทิน'!$BT$2:$CX$2,1)&amp;" วัน"</f>
        <v/>
      </c>
      <c r="G7" s="286">
        <f>"เรียน"&amp;CHAR(10)&amp;COUNTIF('ปฏิทิน'!$DB$2:$EF$2,1)&amp;" วัน"</f>
        <v/>
      </c>
      <c r="H7" s="286">
        <f>"เรียน"&amp;CHAR(10)&amp;COUNTIF('ปฏิทิน'!$EJ$2:$FN$2,1)&amp;" วัน"</f>
        <v/>
      </c>
      <c r="I7" s="286">
        <f>"เรียน"&amp;CHAR(10)&amp;COUNTIF('ปฏิทิน'!$FR$2:$GV$2,1)&amp;" วัน"</f>
        <v/>
      </c>
      <c r="M7" s="286">
        <f>"เรียน"&amp;CHAR(10)&amp;COUNTIF('ปฏิทิน'!$D$6:$AH$6,1)&amp;" วัน"</f>
        <v/>
      </c>
      <c r="N7" s="286">
        <f>"เรียน"&amp;CHAR(10)&amp;COUNTIF('ปฏิทิน'!$AL$6:$BP$6,1)&amp;" วัน"</f>
        <v/>
      </c>
      <c r="O7" s="286">
        <f>"เรียน"&amp;CHAR(10)&amp;COUNTIF('ปฏิทิน'!$BT$6:$CX$6,1)&amp;" วัน"</f>
        <v/>
      </c>
      <c r="P7" s="286">
        <f>"เรียน"&amp;CHAR(10)&amp;COUNTIF('ปฏิทิน'!$DB$6:$EF$6,1)&amp;" วัน"</f>
        <v/>
      </c>
      <c r="Q7" s="286">
        <f>"เรียน"&amp;CHAR(10)&amp;COUNTIF('ปฏิทิน'!$EJ$6:$FN$6,1)&amp;" วัน"</f>
        <v/>
      </c>
    </row>
    <row r="8"/>
    <row r="9">
      <c r="A9" s="218" t="n">
        <v>1</v>
      </c>
      <c r="B9" s="219">
        <f>'ข้อมูลนักเรียน'!T9</f>
        <v/>
      </c>
      <c r="C9" s="287">
        <f>IF(B9="","",IF('ข้อมูลนักเรียน'!D9="ด.ช.","ช",IF('ข้อมูลนักเรียน'!D9="ด.ญ.","ญ","")))</f>
        <v/>
      </c>
      <c r="D9" s="157">
        <f>IF($B9="","",N('มาเรียน-ภ1'!AI9))</f>
        <v/>
      </c>
      <c r="E9" s="157">
        <f>IF($B9="","",N('มาเรียน-ภ1'!BQ9))</f>
        <v/>
      </c>
      <c r="F9" s="157">
        <f>IF($B9="","",N('มาเรียน-ภ1'!CY9))</f>
        <v/>
      </c>
      <c r="G9" s="157">
        <f>IF($B9="","",N('มาเรียน-ภ1'!EG9))</f>
        <v/>
      </c>
      <c r="H9" s="157">
        <f>IF($B9="","",N('มาเรียน-ภ1'!FO9))</f>
        <v/>
      </c>
      <c r="I9" s="157">
        <f>IF($B9="","",N('มาเรียน-ภ1'!GW9))</f>
        <v/>
      </c>
      <c r="J9" s="270">
        <f>IF($B9="","",COUNTIF('มาเรียน-ภ1'!$D9:$GY9,"ม")+COUNTIF('มาเรียน-ภ1'!$D9:$GY9,"ส"))</f>
        <v/>
      </c>
      <c r="K9" s="270">
        <f>IF($B9="","",COUNTIF('มาเรียน-ภ1'!$D9:$GY9,"ล")+COUNTIF('มาเรียน-ภ1'!$D9:$GY9,"ป")+COUNTIF('มาเรียน-ภ1'!$D9:$GY9,"ข"))</f>
        <v/>
      </c>
      <c r="L9" s="288">
        <f>IF($B9="","",IFERROR(J9/(J9+K9),""))</f>
        <v/>
      </c>
      <c r="M9" s="157">
        <f>IF($B9="","",N('มาเรียน-ภ2'!AI9))</f>
        <v/>
      </c>
      <c r="N9" s="157">
        <f>IF($B9="","",N('มาเรียน-ภ2'!BQ9))</f>
        <v/>
      </c>
      <c r="O9" s="157">
        <f>IF($B9="","",N('มาเรียน-ภ2'!CY9))</f>
        <v/>
      </c>
      <c r="P9" s="157">
        <f>IF($B9="","",N('มาเรียน-ภ2'!EG9))</f>
        <v/>
      </c>
      <c r="Q9" s="157">
        <f>IF($B9="","",N('มาเรียน-ภ2'!FO9))</f>
        <v/>
      </c>
      <c r="R9" s="270">
        <f>IF($B9="","",COUNTIF('มาเรียน-ภ2'!$D9:$FQ9,"ม")+COUNTIF('มาเรียน-ภ2'!$D9:$FQ9,"ส"))</f>
        <v/>
      </c>
      <c r="S9" s="270">
        <f>IF($B9="","",COUNTIF('มาเรียน-ภ2'!$D9:$FQ9,"ล")+COUNTIF('มาเรียน-ภ2'!$D9:$FQ9,"ป")+COUNTIF('มาเรียน-ภ2'!$D9:$FQ9,"ข"))</f>
        <v/>
      </c>
      <c r="T9" s="288">
        <f>IF($B9="","",IFERROR(R9/(R9+S9),""))</f>
        <v/>
      </c>
      <c r="U9" s="284">
        <f>IF($B9="","",COUNTIF('มาเรียน-ภ1'!$D9:$GY9,"ม")+COUNTIF('มาเรียน-ภ2'!$D9:$FQ9,"ม"))</f>
        <v/>
      </c>
      <c r="V9" s="284">
        <f>IF($B9="","",COUNTIF('มาเรียน-ภ1'!$D9:$GY9,"ส")+COUNTIF('มาเรียน-ภ2'!$D9:$FQ9,"ส"))</f>
        <v/>
      </c>
      <c r="W9" s="284">
        <f>IF($B9="","",COUNTIF('มาเรียน-ภ1'!$D9:$GY9,"ล")+COUNTIF('มาเรียน-ภ2'!$D9:$FQ9,"ล"))</f>
        <v/>
      </c>
      <c r="X9" s="284">
        <f>IF($B9="","",COUNTIF('มาเรียน-ภ1'!$D9:$GY9,"ป")+COUNTIF('มาเรียน-ภ2'!$D9:$FQ9,"ป"))</f>
        <v/>
      </c>
      <c r="Y9" s="284">
        <f>IF($B9="","",COUNTIF('มาเรียน-ภ1'!$D9:$GY9,"ข")+COUNTIF('มาเรียน-ภ2'!$D9:$FQ9,"ข"))</f>
        <v/>
      </c>
      <c r="Z9" s="289">
        <f>IF($B9="","",IFERROR((U9+V9)/(U9+V9+W9+X9+Y9),""))</f>
        <v/>
      </c>
    </row>
    <row r="10">
      <c r="A10" s="226" t="n">
        <v>2</v>
      </c>
      <c r="B10" s="227">
        <f>'ข้อมูลนักเรียน'!T10</f>
        <v/>
      </c>
      <c r="C10" s="287">
        <f>IF(B10="","",IF('ข้อมูลนักเรียน'!D10="ด.ช.","ช",IF('ข้อมูลนักเรียน'!D10="ด.ญ.","ญ","")))</f>
        <v/>
      </c>
      <c r="D10" s="157">
        <f>IF($B10="","",N('มาเรียน-ภ1'!AI10))</f>
        <v/>
      </c>
      <c r="E10" s="157">
        <f>IF($B10="","",N('มาเรียน-ภ1'!BQ10))</f>
        <v/>
      </c>
      <c r="F10" s="157">
        <f>IF($B10="","",N('มาเรียน-ภ1'!CY10))</f>
        <v/>
      </c>
      <c r="G10" s="157">
        <f>IF($B10="","",N('มาเรียน-ภ1'!EG10))</f>
        <v/>
      </c>
      <c r="H10" s="157">
        <f>IF($B10="","",N('มาเรียน-ภ1'!FO10))</f>
        <v/>
      </c>
      <c r="I10" s="157">
        <f>IF($B10="","",N('มาเรียน-ภ1'!GW10))</f>
        <v/>
      </c>
      <c r="J10" s="270">
        <f>IF($B10="","",COUNTIF('มาเรียน-ภ1'!$D10:$GY10,"ม")+COUNTIF('มาเรียน-ภ1'!$D10:$GY10,"ส"))</f>
        <v/>
      </c>
      <c r="K10" s="270">
        <f>IF($B10="","",COUNTIF('มาเรียน-ภ1'!$D10:$GY10,"ล")+COUNTIF('มาเรียน-ภ1'!$D10:$GY10,"ป")+COUNTIF('มาเรียน-ภ1'!$D10:$GY10,"ข"))</f>
        <v/>
      </c>
      <c r="L10" s="288">
        <f>IF($B10="","",IFERROR(J10/(J10+K10),""))</f>
        <v/>
      </c>
      <c r="M10" s="157">
        <f>IF($B10="","",N('มาเรียน-ภ2'!AI10))</f>
        <v/>
      </c>
      <c r="N10" s="157">
        <f>IF($B10="","",N('มาเรียน-ภ2'!BQ10))</f>
        <v/>
      </c>
      <c r="O10" s="157">
        <f>IF($B10="","",N('มาเรียน-ภ2'!CY10))</f>
        <v/>
      </c>
      <c r="P10" s="157">
        <f>IF($B10="","",N('มาเรียน-ภ2'!EG10))</f>
        <v/>
      </c>
      <c r="Q10" s="157">
        <f>IF($B10="","",N('มาเรียน-ภ2'!FO10))</f>
        <v/>
      </c>
      <c r="R10" s="270">
        <f>IF($B10="","",COUNTIF('มาเรียน-ภ2'!$D10:$FQ10,"ม")+COUNTIF('มาเรียน-ภ2'!$D10:$FQ10,"ส"))</f>
        <v/>
      </c>
      <c r="S10" s="270">
        <f>IF($B10="","",COUNTIF('มาเรียน-ภ2'!$D10:$FQ10,"ล")+COUNTIF('มาเรียน-ภ2'!$D10:$FQ10,"ป")+COUNTIF('มาเรียน-ภ2'!$D10:$FQ10,"ข"))</f>
        <v/>
      </c>
      <c r="T10" s="288">
        <f>IF($B10="","",IFERROR(R10/(R10+S10),""))</f>
        <v/>
      </c>
      <c r="U10" s="284">
        <f>IF($B10="","",COUNTIF('มาเรียน-ภ1'!$D10:$GY10,"ม")+COUNTIF('มาเรียน-ภ2'!$D10:$FQ10,"ม"))</f>
        <v/>
      </c>
      <c r="V10" s="284">
        <f>IF($B10="","",COUNTIF('มาเรียน-ภ1'!$D10:$GY10,"ส")+COUNTIF('มาเรียน-ภ2'!$D10:$FQ10,"ส"))</f>
        <v/>
      </c>
      <c r="W10" s="284">
        <f>IF($B10="","",COUNTIF('มาเรียน-ภ1'!$D10:$GY10,"ล")+COUNTIF('มาเรียน-ภ2'!$D10:$FQ10,"ล"))</f>
        <v/>
      </c>
      <c r="X10" s="284">
        <f>IF($B10="","",COUNTIF('มาเรียน-ภ1'!$D10:$GY10,"ป")+COUNTIF('มาเรียน-ภ2'!$D10:$FQ10,"ป"))</f>
        <v/>
      </c>
      <c r="Y10" s="284">
        <f>IF($B10="","",COUNTIF('มาเรียน-ภ1'!$D10:$GY10,"ข")+COUNTIF('มาเรียน-ภ2'!$D10:$FQ10,"ข"))</f>
        <v/>
      </c>
      <c r="Z10" s="289">
        <f>IF($B10="","",IFERROR((U10+V10)/(U10+V10+W10+X10+Y10),""))</f>
        <v/>
      </c>
    </row>
    <row r="11">
      <c r="A11" s="218" t="n">
        <v>3</v>
      </c>
      <c r="B11" s="219">
        <f>'ข้อมูลนักเรียน'!T11</f>
        <v/>
      </c>
      <c r="C11" s="287">
        <f>IF(B11="","",IF('ข้อมูลนักเรียน'!D11="ด.ช.","ช",IF('ข้อมูลนักเรียน'!D11="ด.ญ.","ญ","")))</f>
        <v/>
      </c>
      <c r="D11" s="157">
        <f>IF($B11="","",N('มาเรียน-ภ1'!AI11))</f>
        <v/>
      </c>
      <c r="E11" s="157">
        <f>IF($B11="","",N('มาเรียน-ภ1'!BQ11))</f>
        <v/>
      </c>
      <c r="F11" s="157">
        <f>IF($B11="","",N('มาเรียน-ภ1'!CY11))</f>
        <v/>
      </c>
      <c r="G11" s="157">
        <f>IF($B11="","",N('มาเรียน-ภ1'!EG11))</f>
        <v/>
      </c>
      <c r="H11" s="157">
        <f>IF($B11="","",N('มาเรียน-ภ1'!FO11))</f>
        <v/>
      </c>
      <c r="I11" s="157">
        <f>IF($B11="","",N('มาเรียน-ภ1'!GW11))</f>
        <v/>
      </c>
      <c r="J11" s="270">
        <f>IF($B11="","",COUNTIF('มาเรียน-ภ1'!$D11:$GY11,"ม")+COUNTIF('มาเรียน-ภ1'!$D11:$GY11,"ส"))</f>
        <v/>
      </c>
      <c r="K11" s="270">
        <f>IF($B11="","",COUNTIF('มาเรียน-ภ1'!$D11:$GY11,"ล")+COUNTIF('มาเรียน-ภ1'!$D11:$GY11,"ป")+COUNTIF('มาเรียน-ภ1'!$D11:$GY11,"ข"))</f>
        <v/>
      </c>
      <c r="L11" s="288">
        <f>IF($B11="","",IFERROR(J11/(J11+K11),""))</f>
        <v/>
      </c>
      <c r="M11" s="157">
        <f>IF($B11="","",N('มาเรียน-ภ2'!AI11))</f>
        <v/>
      </c>
      <c r="N11" s="157">
        <f>IF($B11="","",N('มาเรียน-ภ2'!BQ11))</f>
        <v/>
      </c>
      <c r="O11" s="157">
        <f>IF($B11="","",N('มาเรียน-ภ2'!CY11))</f>
        <v/>
      </c>
      <c r="P11" s="157">
        <f>IF($B11="","",N('มาเรียน-ภ2'!EG11))</f>
        <v/>
      </c>
      <c r="Q11" s="157">
        <f>IF($B11="","",N('มาเรียน-ภ2'!FO11))</f>
        <v/>
      </c>
      <c r="R11" s="270">
        <f>IF($B11="","",COUNTIF('มาเรียน-ภ2'!$D11:$FQ11,"ม")+COUNTIF('มาเรียน-ภ2'!$D11:$FQ11,"ส"))</f>
        <v/>
      </c>
      <c r="S11" s="270">
        <f>IF($B11="","",COUNTIF('มาเรียน-ภ2'!$D11:$FQ11,"ล")+COUNTIF('มาเรียน-ภ2'!$D11:$FQ11,"ป")+COUNTIF('มาเรียน-ภ2'!$D11:$FQ11,"ข"))</f>
        <v/>
      </c>
      <c r="T11" s="288">
        <f>IF($B11="","",IFERROR(R11/(R11+S11),""))</f>
        <v/>
      </c>
      <c r="U11" s="284">
        <f>IF($B11="","",COUNTIF('มาเรียน-ภ1'!$D11:$GY11,"ม")+COUNTIF('มาเรียน-ภ2'!$D11:$FQ11,"ม"))</f>
        <v/>
      </c>
      <c r="V11" s="284">
        <f>IF($B11="","",COUNTIF('มาเรียน-ภ1'!$D11:$GY11,"ส")+COUNTIF('มาเรียน-ภ2'!$D11:$FQ11,"ส"))</f>
        <v/>
      </c>
      <c r="W11" s="284">
        <f>IF($B11="","",COUNTIF('มาเรียน-ภ1'!$D11:$GY11,"ล")+COUNTIF('มาเรียน-ภ2'!$D11:$FQ11,"ล"))</f>
        <v/>
      </c>
      <c r="X11" s="284">
        <f>IF($B11="","",COUNTIF('มาเรียน-ภ1'!$D11:$GY11,"ป")+COUNTIF('มาเรียน-ภ2'!$D11:$FQ11,"ป"))</f>
        <v/>
      </c>
      <c r="Y11" s="284">
        <f>IF($B11="","",COUNTIF('มาเรียน-ภ1'!$D11:$GY11,"ข")+COUNTIF('มาเรียน-ภ2'!$D11:$FQ11,"ข"))</f>
        <v/>
      </c>
      <c r="Z11" s="289">
        <f>IF($B11="","",IFERROR((U11+V11)/(U11+V11+W11+X11+Y11),""))</f>
        <v/>
      </c>
    </row>
    <row r="12">
      <c r="A12" s="226" t="n">
        <v>4</v>
      </c>
      <c r="B12" s="227">
        <f>'ข้อมูลนักเรียน'!T12</f>
        <v/>
      </c>
      <c r="C12" s="287">
        <f>IF(B12="","",IF('ข้อมูลนักเรียน'!D12="ด.ช.","ช",IF('ข้อมูลนักเรียน'!D12="ด.ญ.","ญ","")))</f>
        <v/>
      </c>
      <c r="D12" s="157">
        <f>IF($B12="","",N('มาเรียน-ภ1'!AI12))</f>
        <v/>
      </c>
      <c r="E12" s="157">
        <f>IF($B12="","",N('มาเรียน-ภ1'!BQ12))</f>
        <v/>
      </c>
      <c r="F12" s="157">
        <f>IF($B12="","",N('มาเรียน-ภ1'!CY12))</f>
        <v/>
      </c>
      <c r="G12" s="157">
        <f>IF($B12="","",N('มาเรียน-ภ1'!EG12))</f>
        <v/>
      </c>
      <c r="H12" s="157">
        <f>IF($B12="","",N('มาเรียน-ภ1'!FO12))</f>
        <v/>
      </c>
      <c r="I12" s="157">
        <f>IF($B12="","",N('มาเรียน-ภ1'!GW12))</f>
        <v/>
      </c>
      <c r="J12" s="270">
        <f>IF($B12="","",COUNTIF('มาเรียน-ภ1'!$D12:$GY12,"ม")+COUNTIF('มาเรียน-ภ1'!$D12:$GY12,"ส"))</f>
        <v/>
      </c>
      <c r="K12" s="270">
        <f>IF($B12="","",COUNTIF('มาเรียน-ภ1'!$D12:$GY12,"ล")+COUNTIF('มาเรียน-ภ1'!$D12:$GY12,"ป")+COUNTIF('มาเรียน-ภ1'!$D12:$GY12,"ข"))</f>
        <v/>
      </c>
      <c r="L12" s="288">
        <f>IF($B12="","",IFERROR(J12/(J12+K12),""))</f>
        <v/>
      </c>
      <c r="M12" s="157">
        <f>IF($B12="","",N('มาเรียน-ภ2'!AI12))</f>
        <v/>
      </c>
      <c r="N12" s="157">
        <f>IF($B12="","",N('มาเรียน-ภ2'!BQ12))</f>
        <v/>
      </c>
      <c r="O12" s="157">
        <f>IF($B12="","",N('มาเรียน-ภ2'!CY12))</f>
        <v/>
      </c>
      <c r="P12" s="157">
        <f>IF($B12="","",N('มาเรียน-ภ2'!EG12))</f>
        <v/>
      </c>
      <c r="Q12" s="157">
        <f>IF($B12="","",N('มาเรียน-ภ2'!FO12))</f>
        <v/>
      </c>
      <c r="R12" s="270">
        <f>IF($B12="","",COUNTIF('มาเรียน-ภ2'!$D12:$FQ12,"ม")+COUNTIF('มาเรียน-ภ2'!$D12:$FQ12,"ส"))</f>
        <v/>
      </c>
      <c r="S12" s="270">
        <f>IF($B12="","",COUNTIF('มาเรียน-ภ2'!$D12:$FQ12,"ล")+COUNTIF('มาเรียน-ภ2'!$D12:$FQ12,"ป")+COUNTIF('มาเรียน-ภ2'!$D12:$FQ12,"ข"))</f>
        <v/>
      </c>
      <c r="T12" s="288">
        <f>IF($B12="","",IFERROR(R12/(R12+S12),""))</f>
        <v/>
      </c>
      <c r="U12" s="284">
        <f>IF($B12="","",COUNTIF('มาเรียน-ภ1'!$D12:$GY12,"ม")+COUNTIF('มาเรียน-ภ2'!$D12:$FQ12,"ม"))</f>
        <v/>
      </c>
      <c r="V12" s="284">
        <f>IF($B12="","",COUNTIF('มาเรียน-ภ1'!$D12:$GY12,"ส")+COUNTIF('มาเรียน-ภ2'!$D12:$FQ12,"ส"))</f>
        <v/>
      </c>
      <c r="W12" s="284">
        <f>IF($B12="","",COUNTIF('มาเรียน-ภ1'!$D12:$GY12,"ล")+COUNTIF('มาเรียน-ภ2'!$D12:$FQ12,"ล"))</f>
        <v/>
      </c>
      <c r="X12" s="284">
        <f>IF($B12="","",COUNTIF('มาเรียน-ภ1'!$D12:$GY12,"ป")+COUNTIF('มาเรียน-ภ2'!$D12:$FQ12,"ป"))</f>
        <v/>
      </c>
      <c r="Y12" s="284">
        <f>IF($B12="","",COUNTIF('มาเรียน-ภ1'!$D12:$GY12,"ข")+COUNTIF('มาเรียน-ภ2'!$D12:$FQ12,"ข"))</f>
        <v/>
      </c>
      <c r="Z12" s="289">
        <f>IF($B12="","",IFERROR((U12+V12)/(U12+V12+W12+X12+Y12),""))</f>
        <v/>
      </c>
    </row>
    <row r="13">
      <c r="A13" s="218" t="n">
        <v>5</v>
      </c>
      <c r="B13" s="219">
        <f>'ข้อมูลนักเรียน'!T13</f>
        <v/>
      </c>
      <c r="C13" s="287">
        <f>IF(B13="","",IF('ข้อมูลนักเรียน'!D13="ด.ช.","ช",IF('ข้อมูลนักเรียน'!D13="ด.ญ.","ญ","")))</f>
        <v/>
      </c>
      <c r="D13" s="157">
        <f>IF($B13="","",N('มาเรียน-ภ1'!AI13))</f>
        <v/>
      </c>
      <c r="E13" s="157">
        <f>IF($B13="","",N('มาเรียน-ภ1'!BQ13))</f>
        <v/>
      </c>
      <c r="F13" s="157">
        <f>IF($B13="","",N('มาเรียน-ภ1'!CY13))</f>
        <v/>
      </c>
      <c r="G13" s="157">
        <f>IF($B13="","",N('มาเรียน-ภ1'!EG13))</f>
        <v/>
      </c>
      <c r="H13" s="157">
        <f>IF($B13="","",N('มาเรียน-ภ1'!FO13))</f>
        <v/>
      </c>
      <c r="I13" s="157">
        <f>IF($B13="","",N('มาเรียน-ภ1'!GW13))</f>
        <v/>
      </c>
      <c r="J13" s="270">
        <f>IF($B13="","",COUNTIF('มาเรียน-ภ1'!$D13:$GY13,"ม")+COUNTIF('มาเรียน-ภ1'!$D13:$GY13,"ส"))</f>
        <v/>
      </c>
      <c r="K13" s="270">
        <f>IF($B13="","",COUNTIF('มาเรียน-ภ1'!$D13:$GY13,"ล")+COUNTIF('มาเรียน-ภ1'!$D13:$GY13,"ป")+COUNTIF('มาเรียน-ภ1'!$D13:$GY13,"ข"))</f>
        <v/>
      </c>
      <c r="L13" s="288">
        <f>IF($B13="","",IFERROR(J13/(J13+K13),""))</f>
        <v/>
      </c>
      <c r="M13" s="157">
        <f>IF($B13="","",N('มาเรียน-ภ2'!AI13))</f>
        <v/>
      </c>
      <c r="N13" s="157">
        <f>IF($B13="","",N('มาเรียน-ภ2'!BQ13))</f>
        <v/>
      </c>
      <c r="O13" s="157">
        <f>IF($B13="","",N('มาเรียน-ภ2'!CY13))</f>
        <v/>
      </c>
      <c r="P13" s="157">
        <f>IF($B13="","",N('มาเรียน-ภ2'!EG13))</f>
        <v/>
      </c>
      <c r="Q13" s="157">
        <f>IF($B13="","",N('มาเรียน-ภ2'!FO13))</f>
        <v/>
      </c>
      <c r="R13" s="270">
        <f>IF($B13="","",COUNTIF('มาเรียน-ภ2'!$D13:$FQ13,"ม")+COUNTIF('มาเรียน-ภ2'!$D13:$FQ13,"ส"))</f>
        <v/>
      </c>
      <c r="S13" s="270">
        <f>IF($B13="","",COUNTIF('มาเรียน-ภ2'!$D13:$FQ13,"ล")+COUNTIF('มาเรียน-ภ2'!$D13:$FQ13,"ป")+COUNTIF('มาเรียน-ภ2'!$D13:$FQ13,"ข"))</f>
        <v/>
      </c>
      <c r="T13" s="288">
        <f>IF($B13="","",IFERROR(R13/(R13+S13),""))</f>
        <v/>
      </c>
      <c r="U13" s="284">
        <f>IF($B13="","",COUNTIF('มาเรียน-ภ1'!$D13:$GY13,"ม")+COUNTIF('มาเรียน-ภ2'!$D13:$FQ13,"ม"))</f>
        <v/>
      </c>
      <c r="V13" s="284">
        <f>IF($B13="","",COUNTIF('มาเรียน-ภ1'!$D13:$GY13,"ส")+COUNTIF('มาเรียน-ภ2'!$D13:$FQ13,"ส"))</f>
        <v/>
      </c>
      <c r="W13" s="284">
        <f>IF($B13="","",COUNTIF('มาเรียน-ภ1'!$D13:$GY13,"ล")+COUNTIF('มาเรียน-ภ2'!$D13:$FQ13,"ล"))</f>
        <v/>
      </c>
      <c r="X13" s="284">
        <f>IF($B13="","",COUNTIF('มาเรียน-ภ1'!$D13:$GY13,"ป")+COUNTIF('มาเรียน-ภ2'!$D13:$FQ13,"ป"))</f>
        <v/>
      </c>
      <c r="Y13" s="284">
        <f>IF($B13="","",COUNTIF('มาเรียน-ภ1'!$D13:$GY13,"ข")+COUNTIF('มาเรียน-ภ2'!$D13:$FQ13,"ข"))</f>
        <v/>
      </c>
      <c r="Z13" s="289">
        <f>IF($B13="","",IFERROR((U13+V13)/(U13+V13+W13+X13+Y13),""))</f>
        <v/>
      </c>
    </row>
    <row r="14">
      <c r="A14" s="290" t="inlineStr">
        <is>
          <t>รวม / เฉลี่ยทั้งห้อง</t>
        </is>
      </c>
      <c r="D14" s="282">
        <f>SUM(D9:D13)</f>
        <v/>
      </c>
      <c r="E14" s="282">
        <f>SUM(E9:E13)</f>
        <v/>
      </c>
      <c r="F14" s="282">
        <f>SUM(F9:F13)</f>
        <v/>
      </c>
      <c r="G14" s="282">
        <f>SUM(G9:G13)</f>
        <v/>
      </c>
      <c r="H14" s="282">
        <f>SUM(H9:H13)</f>
        <v/>
      </c>
      <c r="I14" s="282">
        <f>SUM(I9:I13)</f>
        <v/>
      </c>
      <c r="J14" s="291">
        <f>SUM(J9:J13)</f>
        <v/>
      </c>
      <c r="K14" s="291">
        <f>SUM(K9:K13)</f>
        <v/>
      </c>
      <c r="L14" s="292">
        <f>IFERROR(AVERAGE(L9:L13),"")</f>
        <v/>
      </c>
      <c r="M14" s="282">
        <f>SUM(M9:M13)</f>
        <v/>
      </c>
      <c r="N14" s="282">
        <f>SUM(N9:N13)</f>
        <v/>
      </c>
      <c r="O14" s="282">
        <f>SUM(O9:O13)</f>
        <v/>
      </c>
      <c r="P14" s="282">
        <f>SUM(P9:P13)</f>
        <v/>
      </c>
      <c r="Q14" s="282">
        <f>SUM(Q9:Q13)</f>
        <v/>
      </c>
      <c r="R14" s="291">
        <f>SUM(R9:R13)</f>
        <v/>
      </c>
      <c r="S14" s="291">
        <f>SUM(S9:S13)</f>
        <v/>
      </c>
      <c r="T14" s="292">
        <f>IFERROR(AVERAGE(T9:T13),"")</f>
        <v/>
      </c>
      <c r="U14" s="293">
        <f>SUM(U9:U13)</f>
        <v/>
      </c>
      <c r="V14" s="293">
        <f>SUM(V9:V13)</f>
        <v/>
      </c>
      <c r="W14" s="293">
        <f>SUM(W9:W13)</f>
        <v/>
      </c>
      <c r="X14" s="293">
        <f>SUM(X9:X13)</f>
        <v/>
      </c>
      <c r="Y14" s="293">
        <f>SUM(Y9:Y13)</f>
        <v/>
      </c>
      <c r="Z14" s="294">
        <f>IFERROR(AVERAGE(Z9:Z13),"")</f>
        <v/>
      </c>
    </row>
    <row r="15">
      <c r="B15" s="295" t="inlineStr">
        <is>
          <t>ร้อยละทั้งปีต่ำกว่า 80% จะเป็นสีแดง (ควรติดตาม)</t>
        </is>
      </c>
    </row>
    <row r="16"/>
    <row r="17">
      <c r="B17" s="246" t="inlineStr">
        <is>
          <t>ลงชื่อ ........................................................</t>
        </is>
      </c>
      <c r="U17" s="246" t="inlineStr">
        <is>
          <t>ลงชื่อ ........................................................</t>
        </is>
      </c>
    </row>
    <row r="18">
      <c r="B18" s="246">
        <f>"( "&amp;IF('ข้อมูลโรงเรียน'!$C$9="","..................................................",'ข้อมูลโรงเรียน'!$C$9)&amp;" )"</f>
        <v/>
      </c>
      <c r="U18" s="246">
        <f>"( "&amp;IF('ข้อมูลโรงเรียน'!$C$11="","..................................................",'ข้อมูลโรงเรียน'!$C$11)&amp;" )"</f>
        <v/>
      </c>
    </row>
    <row r="19">
      <c r="B19" s="277" t="inlineStr">
        <is>
          <t>ครูประจำชั้น</t>
        </is>
      </c>
      <c r="U19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0">
    <mergeCell ref="C5:C8"/>
    <mergeCell ref="T6:T8"/>
    <mergeCell ref="G7:G8"/>
    <mergeCell ref="I7:I8"/>
    <mergeCell ref="M5:T5"/>
    <mergeCell ref="M7:M8"/>
    <mergeCell ref="K6:K8"/>
    <mergeCell ref="L6:L8"/>
    <mergeCell ref="A14:C14"/>
    <mergeCell ref="D7:D8"/>
    <mergeCell ref="Z6:Z8"/>
    <mergeCell ref="H7:H8"/>
    <mergeCell ref="P7:P8"/>
    <mergeCell ref="W6:W8"/>
    <mergeCell ref="U5:Z5"/>
    <mergeCell ref="D5:L5"/>
    <mergeCell ref="U6:U8"/>
    <mergeCell ref="E7:E8"/>
    <mergeCell ref="J6:J8"/>
    <mergeCell ref="A5:A8"/>
    <mergeCell ref="O7:O8"/>
    <mergeCell ref="R6:R8"/>
    <mergeCell ref="Q7:Q8"/>
    <mergeCell ref="B5:B8"/>
    <mergeCell ref="X6:X8"/>
    <mergeCell ref="V6:V8"/>
    <mergeCell ref="F7:F8"/>
    <mergeCell ref="N7:N8"/>
    <mergeCell ref="S6:S8"/>
    <mergeCell ref="Y6:Y8"/>
  </mergeCells>
  <conditionalFormatting sqref="A9:LH13">
    <cfRule type="expression" priority="1" dxfId="0" stopIfTrue="1">
      <formula>$B9=""</formula>
    </cfRule>
  </conditionalFormatting>
  <conditionalFormatting sqref="Z9:Z13">
    <cfRule type="expression" priority="2" dxfId="1">
      <formula>AND(Z9&lt;&gt;"",Z9&lt;0.8)</formula>
    </cfRule>
  </conditionalFormatting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EE80A6"/>
    <outlinePr summaryBelow="1" summaryRight="1"/>
    <pageSetUpPr fitToPage="1"/>
  </sheetPr>
  <dimension ref="A1:AQ3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9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6" customWidth="1" min="33" max="33"/>
    <col width="7.5" customWidth="1" min="34" max="34"/>
    <col width="6" customWidth="1" min="35" max="35"/>
    <col width="7.5" customWidth="1" min="36" max="36"/>
    <col width="6" customWidth="1" min="37" max="37"/>
    <col width="7.5" customWidth="1" min="38" max="38"/>
    <col width="6" customWidth="1" min="39" max="39"/>
    <col width="7.5" customWidth="1" min="40" max="40"/>
    <col width="6" customWidth="1" min="41" max="41"/>
    <col width="7.5" customWidth="1" min="42" max="42"/>
    <col width="34" customWidth="1" min="43" max="43"/>
  </cols>
  <sheetData>
    <row r="1" ht="48" customHeight="1">
      <c r="A1" s="296" t="inlineStr">
        <is>
          <t>🏠</t>
        </is>
      </c>
      <c r="B1" s="297" t="n"/>
      <c r="C1" s="297" t="n"/>
      <c r="D1" s="297" t="n"/>
      <c r="E1" s="297" t="n"/>
      <c r="F1" s="297" t="n"/>
      <c r="G1" s="297" t="n"/>
      <c r="H1" s="297" t="n"/>
      <c r="I1" s="297" t="n"/>
      <c r="J1" s="297" t="n"/>
      <c r="K1" s="297" t="n"/>
      <c r="L1" s="297" t="n"/>
      <c r="M1" s="297" t="n"/>
      <c r="N1" s="297" t="n"/>
      <c r="O1" s="297" t="n"/>
      <c r="P1" s="297" t="n"/>
      <c r="Q1" s="297" t="n"/>
      <c r="R1" s="297" t="n"/>
      <c r="S1" s="297" t="n"/>
      <c r="T1" s="297" t="n"/>
      <c r="U1" s="297" t="n"/>
      <c r="V1" s="297" t="n"/>
      <c r="W1" s="297" t="n"/>
      <c r="X1" s="297" t="n"/>
      <c r="Y1" s="297" t="n"/>
      <c r="Z1" s="297" t="n"/>
      <c r="AA1" s="297" t="n"/>
      <c r="AB1" s="297" t="n"/>
      <c r="AC1" s="297" t="n"/>
      <c r="AD1" s="297" t="n"/>
      <c r="AE1" s="297" t="n"/>
      <c r="AF1" s="297" t="n"/>
      <c r="AG1" s="297" t="n"/>
      <c r="AH1" s="297" t="n"/>
      <c r="AI1" s="297" t="n"/>
      <c r="AJ1" s="297" t="n"/>
      <c r="AK1" s="297" t="n"/>
      <c r="AL1" s="297" t="n"/>
      <c r="AM1" s="297" t="n"/>
      <c r="AN1" s="297" t="n"/>
      <c r="AO1" s="297" t="n"/>
      <c r="AP1" s="297" t="n"/>
      <c r="AQ1" s="297" t="n"/>
    </row>
    <row r="2" ht="20" customHeight="1">
      <c r="A2" s="298" t="inlineStr">
        <is>
          <t>หน้าหลัก</t>
        </is>
      </c>
      <c r="B2" s="29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300" t="n"/>
      <c r="D2" s="300" t="n"/>
      <c r="E2" s="300" t="n"/>
      <c r="F2" s="300" t="n"/>
      <c r="G2" s="300" t="n"/>
      <c r="H2" s="300" t="n"/>
      <c r="I2" s="300" t="n"/>
      <c r="J2" s="300" t="n"/>
      <c r="K2" s="300" t="n"/>
      <c r="L2" s="300" t="n"/>
      <c r="M2" s="300" t="n"/>
      <c r="N2" s="300" t="n"/>
      <c r="O2" s="300" t="n"/>
      <c r="P2" s="300" t="n"/>
      <c r="Q2" s="300" t="n"/>
      <c r="R2" s="300" t="n"/>
      <c r="S2" s="300" t="n"/>
      <c r="T2" s="300" t="n"/>
      <c r="U2" s="300" t="n"/>
      <c r="V2" s="300" t="n"/>
      <c r="W2" s="300" t="n"/>
      <c r="X2" s="300" t="n"/>
      <c r="Y2" s="300" t="n"/>
      <c r="Z2" s="300" t="n"/>
      <c r="AA2" s="300" t="n"/>
      <c r="AB2" s="300" t="n"/>
      <c r="AC2" s="300" t="n"/>
      <c r="AD2" s="300" t="n"/>
      <c r="AE2" s="300" t="n"/>
      <c r="AF2" s="300" t="n"/>
      <c r="AG2" s="300" t="n"/>
      <c r="AH2" s="300" t="n"/>
      <c r="AI2" s="300" t="n"/>
      <c r="AJ2" s="300" t="n"/>
      <c r="AK2" s="300" t="n"/>
      <c r="AL2" s="300" t="n"/>
      <c r="AM2" s="300" t="n"/>
      <c r="AN2" s="300" t="n"/>
      <c r="AO2" s="300" t="n"/>
      <c r="AP2" s="300" t="n"/>
      <c r="AQ2" s="300" t="n"/>
    </row>
    <row r="3">
      <c r="B3" s="301" t="inlineStr">
        <is>
          <t>ให้คะแนนรายตัวบ่งชี้   3 = ดี     2 = พอใช้     1 = ปรับปรุง   •   ผลรายด้านคำนวณจากค่าเฉลี่ย (เกิน 2.50 = ดี, เกิน 1.50 = พอใช้)</t>
        </is>
      </c>
    </row>
    <row r="4"/>
    <row r="5" ht="22" customHeight="1">
      <c r="A5" s="302" t="inlineStr">
        <is>
          <t>เลขที่</t>
        </is>
      </c>
      <c r="B5" s="302" t="inlineStr">
        <is>
          <t>ชื่อ - สกุล</t>
        </is>
      </c>
      <c r="C5" s="303" t="inlineStr">
        <is>
          <t>อายุ</t>
        </is>
      </c>
      <c r="D5" s="304" t="inlineStr">
        <is>
          <t>ด้านร่างกาย</t>
        </is>
      </c>
      <c r="I5" s="305" t="inlineStr">
        <is>
          <t>ด้านอารมณ์ จิตใจ</t>
        </is>
      </c>
      <c r="P5" s="306" t="inlineStr">
        <is>
          <t>ด้านสังคม</t>
        </is>
      </c>
      <c r="X5" s="307" t="inlineStr">
        <is>
          <t>ด้านสติปัญญา</t>
        </is>
      </c>
      <c r="AG5" s="308" t="inlineStr">
        <is>
          <t>ด้านร่างกาย</t>
        </is>
      </c>
      <c r="AI5" s="309" t="inlineStr">
        <is>
          <t>ด้านอารมณ์ จิตใจ</t>
        </is>
      </c>
      <c r="AK5" s="310" t="inlineStr">
        <is>
          <t>ด้านสังคม</t>
        </is>
      </c>
      <c r="AM5" s="311" t="inlineStr">
        <is>
          <t>ด้านสติปัญญา</t>
        </is>
      </c>
      <c r="AO5" s="312" t="inlineStr">
        <is>
          <t>ภาพรวม</t>
        </is>
      </c>
      <c r="AQ5" s="313" t="inlineStr">
        <is>
          <t>ความคิดเห็นของครู
(แสดงในสมุดรายงานประจำตัว)</t>
        </is>
      </c>
    </row>
    <row r="6">
      <c r="D6" s="314" t="inlineStr">
        <is>
          <t>มฐ.1</t>
        </is>
      </c>
      <c r="G6" s="315" t="inlineStr">
        <is>
          <t>มฐ.2</t>
        </is>
      </c>
      <c r="I6" s="316" t="inlineStr">
        <is>
          <t>มฐ.3</t>
        </is>
      </c>
      <c r="K6" s="317" t="inlineStr">
        <is>
          <t>มฐ.4</t>
        </is>
      </c>
      <c r="L6" s="317" t="inlineStr">
        <is>
          <t>มฐ.5</t>
        </is>
      </c>
      <c r="P6" s="318" t="inlineStr">
        <is>
          <t>มฐ.6</t>
        </is>
      </c>
      <c r="S6" s="319" t="inlineStr">
        <is>
          <t>มฐ.7</t>
        </is>
      </c>
      <c r="U6" s="319" t="inlineStr">
        <is>
          <t>มฐ.8</t>
        </is>
      </c>
      <c r="X6" s="320" t="inlineStr">
        <is>
          <t>มฐ.9</t>
        </is>
      </c>
      <c r="Z6" s="321" t="inlineStr">
        <is>
          <t>มฐ.10</t>
        </is>
      </c>
      <c r="AC6" s="321" t="inlineStr">
        <is>
          <t>มฐ.11</t>
        </is>
      </c>
      <c r="AE6" s="321" t="inlineStr">
        <is>
          <t>มฐ.12</t>
        </is>
      </c>
    </row>
    <row r="7">
      <c r="D7" s="322" t="inlineStr">
        <is>
          <t>1.1</t>
        </is>
      </c>
      <c r="E7" s="323" t="inlineStr">
        <is>
          <t>1.2</t>
        </is>
      </c>
      <c r="F7" s="323" t="inlineStr">
        <is>
          <t>1.3</t>
        </is>
      </c>
      <c r="G7" s="323" t="inlineStr">
        <is>
          <t>2.1</t>
        </is>
      </c>
      <c r="H7" s="323" t="inlineStr">
        <is>
          <t>2.2</t>
        </is>
      </c>
      <c r="I7" s="324" t="inlineStr">
        <is>
          <t>3.1</t>
        </is>
      </c>
      <c r="J7" s="325" t="inlineStr">
        <is>
          <t>3.2</t>
        </is>
      </c>
      <c r="K7" s="325" t="inlineStr">
        <is>
          <t>4.1</t>
        </is>
      </c>
      <c r="L7" s="325" t="inlineStr">
        <is>
          <t>5.1</t>
        </is>
      </c>
      <c r="M7" s="325" t="inlineStr">
        <is>
          <t>5.2</t>
        </is>
      </c>
      <c r="N7" s="325" t="inlineStr">
        <is>
          <t>5.3</t>
        </is>
      </c>
      <c r="O7" s="325" t="inlineStr">
        <is>
          <t>5.4</t>
        </is>
      </c>
      <c r="P7" s="326" t="inlineStr">
        <is>
          <t>6.1</t>
        </is>
      </c>
      <c r="Q7" s="327" t="inlineStr">
        <is>
          <t>6.2</t>
        </is>
      </c>
      <c r="R7" s="327" t="inlineStr">
        <is>
          <t>6.3</t>
        </is>
      </c>
      <c r="S7" s="327" t="inlineStr">
        <is>
          <t>7.1</t>
        </is>
      </c>
      <c r="T7" s="327" t="inlineStr">
        <is>
          <t>7.2</t>
        </is>
      </c>
      <c r="U7" s="327" t="inlineStr">
        <is>
          <t>8.1</t>
        </is>
      </c>
      <c r="V7" s="327" t="inlineStr">
        <is>
          <t>8.2</t>
        </is>
      </c>
      <c r="W7" s="327" t="inlineStr">
        <is>
          <t>8.3</t>
        </is>
      </c>
      <c r="X7" s="328" t="inlineStr">
        <is>
          <t>9.1</t>
        </is>
      </c>
      <c r="Y7" s="329" t="inlineStr">
        <is>
          <t>9.2</t>
        </is>
      </c>
      <c r="Z7" s="329" t="inlineStr">
        <is>
          <t>10.1</t>
        </is>
      </c>
      <c r="AA7" s="329" t="inlineStr">
        <is>
          <t>10.2</t>
        </is>
      </c>
      <c r="AB7" s="329" t="inlineStr">
        <is>
          <t>10.3</t>
        </is>
      </c>
      <c r="AC7" s="329" t="inlineStr">
        <is>
          <t>11.1</t>
        </is>
      </c>
      <c r="AD7" s="329" t="inlineStr">
        <is>
          <t>11.2</t>
        </is>
      </c>
      <c r="AE7" s="329" t="inlineStr">
        <is>
          <t>12.1</t>
        </is>
      </c>
      <c r="AF7" s="329" t="inlineStr">
        <is>
          <t>12.2</t>
        </is>
      </c>
      <c r="AG7" s="330" t="inlineStr">
        <is>
          <t>คะแนน
เฉลี่ย</t>
        </is>
      </c>
      <c r="AH7" s="330" t="inlineStr">
        <is>
          <t>ผล</t>
        </is>
      </c>
      <c r="AI7" s="331" t="inlineStr">
        <is>
          <t>คะแนน
เฉลี่ย</t>
        </is>
      </c>
      <c r="AJ7" s="331" t="inlineStr">
        <is>
          <t>ผล</t>
        </is>
      </c>
      <c r="AK7" s="332" t="inlineStr">
        <is>
          <t>คะแนน
เฉลี่ย</t>
        </is>
      </c>
      <c r="AL7" s="332" t="inlineStr">
        <is>
          <t>ผล</t>
        </is>
      </c>
      <c r="AM7" s="333" t="inlineStr">
        <is>
          <t>คะแนน
เฉลี่ย</t>
        </is>
      </c>
      <c r="AN7" s="333" t="inlineStr">
        <is>
          <t>ผล</t>
        </is>
      </c>
      <c r="AO7" s="334" t="inlineStr">
        <is>
          <t>คะแนน
เฉลี่ย</t>
        </is>
      </c>
      <c r="AP7" s="334" t="inlineStr">
        <is>
          <t>ผล</t>
        </is>
      </c>
    </row>
    <row r="8" ht="125" customHeight="1">
      <c r="D8" s="335" t="inlineStr">
        <is>
          <t>น้ำหนักและส่วนสูงตามเกณฑ์</t>
        </is>
      </c>
      <c r="E8" s="336" t="inlineStr">
        <is>
          <t>มีสุขภาพอนามัย สุขนิสัยที่ดี</t>
        </is>
      </c>
      <c r="F8" s="336" t="inlineStr">
        <is>
          <t>รักษาความปลอดภัยของตนเองและผู้อื่น</t>
        </is>
      </c>
      <c r="G8" s="336" t="inlineStr">
        <is>
          <t>เคลื่อนไหวร่างกายอย่างคล่องแคล่ว ประสานสัมพันธ์และทรงตัวได้</t>
        </is>
      </c>
      <c r="H8" s="336" t="inlineStr">
        <is>
          <t>ใช้มือ-ตาประสานสัมพันธ์กัน</t>
        </is>
      </c>
      <c r="I8" s="337" t="inlineStr">
        <is>
          <t>แสดงออกทางอารมณ์ได้อย่างเหมาะสม</t>
        </is>
      </c>
      <c r="J8" s="336" t="inlineStr">
        <is>
          <t>มีความรู้สึกที่ดีต่อตนเองและผู้อื่น</t>
        </is>
      </c>
      <c r="K8" s="336" t="inlineStr">
        <is>
          <t>สนใจ มีความสุขและแสดงออกผ่านงานศิลปะ ดนตรีและการเคลื่อนไหว</t>
        </is>
      </c>
      <c r="L8" s="336" t="inlineStr">
        <is>
          <t>ซื่อสัตย์สุจริต</t>
        </is>
      </c>
      <c r="M8" s="336" t="inlineStr">
        <is>
          <t>มีความเมตตากรุณา มีน้ำใจ และช่วยเหลือแบ่งปัน</t>
        </is>
      </c>
      <c r="N8" s="336" t="inlineStr">
        <is>
          <t>มีความเห็นอกเห็นใจผู้อื่น</t>
        </is>
      </c>
      <c r="O8" s="336" t="inlineStr">
        <is>
          <t>มีความรับผิดชอบ</t>
        </is>
      </c>
      <c r="P8" s="338" t="inlineStr">
        <is>
          <t>ช่วยเหลือตนเองในการปฏิบัติกิจวัตรประจำวัน</t>
        </is>
      </c>
      <c r="Q8" s="336" t="inlineStr">
        <is>
          <t>มีวินัยในตนเอง</t>
        </is>
      </c>
      <c r="R8" s="336" t="inlineStr">
        <is>
          <t>ประหยัดและพอเพียง</t>
        </is>
      </c>
      <c r="S8" s="336" t="inlineStr">
        <is>
          <t>ดูแลรักษาธรรมชาติและสิ่งแวดล้อม</t>
        </is>
      </c>
      <c r="T8" s="336" t="inlineStr">
        <is>
          <t>มีมารยาทตามวัฒนธรรมไทยและรักความเป็นไทย</t>
        </is>
      </c>
      <c r="U8" s="336" t="inlineStr">
        <is>
          <t>ยอมรับความเหมือนและความแตกต่างระหว่างบุคคล</t>
        </is>
      </c>
      <c r="V8" s="336" t="inlineStr">
        <is>
          <t>มีปฏิสัมพันธ์ที่ดีกับผู้อื่น</t>
        </is>
      </c>
      <c r="W8" s="336" t="inlineStr">
        <is>
          <t>ปฏิบัติตนเบื้องต้นในการเป็นสมาชิกที่ดีของสังคม</t>
        </is>
      </c>
      <c r="X8" s="339" t="inlineStr">
        <is>
          <t>สนทนาโต้ตอบและเล่าเรื่องให้ผู้อื่นเข้าใจ</t>
        </is>
      </c>
      <c r="Y8" s="336" t="inlineStr">
        <is>
          <t>อ่าน เขียนภาพ และสัญลักษณ์ได้</t>
        </is>
      </c>
      <c r="Z8" s="336" t="inlineStr">
        <is>
          <t>มีความสามารถในการคิดรวบยอด</t>
        </is>
      </c>
      <c r="AA8" s="336" t="inlineStr">
        <is>
          <t>มีความสามารถในการคิดเชิงเหตุผล</t>
        </is>
      </c>
      <c r="AB8" s="336" t="inlineStr">
        <is>
          <t>มีความสามารถในการคิดแก้ปัญหาและตัดสินใจ</t>
        </is>
      </c>
      <c r="AC8" s="336" t="inlineStr">
        <is>
          <t>ทำงานศิลปะตามจินตนาการและความคิดสร้างสรรค์</t>
        </is>
      </c>
      <c r="AD8" s="336" t="inlineStr">
        <is>
          <t>แสดงท่าทาง/เคลื่อนไหวตามจินตนาการอย่างสร้างสรรค์</t>
        </is>
      </c>
      <c r="AE8" s="336" t="inlineStr">
        <is>
          <t>มีเจตคติที่ดีต่อการเรียนรู้</t>
        </is>
      </c>
      <c r="AF8" s="336" t="inlineStr">
        <is>
          <t>มีความสามารถในการแสวงหาความรู้</t>
        </is>
      </c>
    </row>
    <row r="9" ht="16" customHeight="1">
      <c r="A9" s="218" t="n">
        <v>1</v>
      </c>
      <c r="B9" s="219">
        <f>'ข้อมูลนักเรียน'!T9</f>
        <v/>
      </c>
      <c r="C9" s="340">
        <f>IF(B9="","",'ข้อมูลนักเรียน'!K9)</f>
        <v/>
      </c>
      <c r="D9" s="341" t="n"/>
      <c r="E9" s="342" t="n"/>
      <c r="F9" s="342" t="n"/>
      <c r="G9" s="342" t="n"/>
      <c r="H9" s="342" t="n"/>
      <c r="I9" s="343" t="n"/>
      <c r="J9" s="342" t="n"/>
      <c r="K9" s="342" t="n"/>
      <c r="L9" s="342" t="n"/>
      <c r="M9" s="342" t="n"/>
      <c r="N9" s="342" t="n"/>
      <c r="O9" s="342" t="n"/>
      <c r="P9" s="344" t="n"/>
      <c r="Q9" s="342" t="n"/>
      <c r="R9" s="342" t="n"/>
      <c r="S9" s="342" t="n"/>
      <c r="T9" s="342" t="n"/>
      <c r="U9" s="342" t="n"/>
      <c r="V9" s="342" t="n"/>
      <c r="W9" s="342" t="n"/>
      <c r="X9" s="345" t="n"/>
      <c r="Y9" s="342" t="n"/>
      <c r="Z9" s="342" t="n"/>
      <c r="AA9" s="342" t="n"/>
      <c r="AB9" s="342" t="n"/>
      <c r="AC9" s="342" t="n"/>
      <c r="AD9" s="342" t="n"/>
      <c r="AE9" s="342" t="n"/>
      <c r="AF9" s="342" t="n"/>
      <c r="AG9" s="346">
        <f>IF(COUNT(D9:H9)=0,"",ROUND(AVERAGE(D9:H9),2))</f>
        <v/>
      </c>
      <c r="AH9" s="232">
        <f>IF(AG9="","",IF(AG9&gt;2.5,"ดี",IF(AG9&gt;1.5,"พอใช้","ปรับปรุง")))</f>
        <v/>
      </c>
      <c r="AI9" s="347">
        <f>IF(COUNT(I9:O9)=0,"",ROUND(AVERAGE(I9:O9),2))</f>
        <v/>
      </c>
      <c r="AJ9" s="232">
        <f>IF(AI9="","",IF(AI9&gt;2.5,"ดี",IF(AI9&gt;1.5,"พอใช้","ปรับปรุง")))</f>
        <v/>
      </c>
      <c r="AK9" s="348">
        <f>IF(COUNT(P9:W9)=0,"",ROUND(AVERAGE(P9:W9),2))</f>
        <v/>
      </c>
      <c r="AL9" s="232">
        <f>IF(AK9="","",IF(AK9&gt;2.5,"ดี",IF(AK9&gt;1.5,"พอใช้","ปรับปรุง")))</f>
        <v/>
      </c>
      <c r="AM9" s="349">
        <f>IF(COUNT(X9:AF9)=0,"",ROUND(AVERAGE(X9:AF9),2))</f>
        <v/>
      </c>
      <c r="AN9" s="232">
        <f>IF(AM9="","",IF(AM9&gt;2.5,"ดี",IF(AM9&gt;1.5,"พอใช้","ปรับปรุง")))</f>
        <v/>
      </c>
      <c r="AO9" s="350">
        <f>IF(COUNT(D9:AF9)=0,"",ROUND(AVERAGE(D9:AF9),2))</f>
        <v/>
      </c>
      <c r="AP9" s="232">
        <f>IF(AO9="","",IF(AO9&gt;2.5,"ดี",IF(AO9&gt;1.5,"พอใช้","ปรับปรุง")))</f>
        <v/>
      </c>
      <c r="AQ9" s="351" t="n"/>
    </row>
    <row r="10" ht="16" customHeight="1">
      <c r="A10" s="226" t="n">
        <v>2</v>
      </c>
      <c r="B10" s="227">
        <f>'ข้อมูลนักเรียน'!T10</f>
        <v/>
      </c>
      <c r="C10" s="340">
        <f>IF(B10="","",'ข้อมูลนักเรียน'!K10)</f>
        <v/>
      </c>
      <c r="D10" s="341" t="n"/>
      <c r="E10" s="342" t="n"/>
      <c r="F10" s="342" t="n"/>
      <c r="G10" s="342" t="n"/>
      <c r="H10" s="342" t="n"/>
      <c r="I10" s="343" t="n"/>
      <c r="J10" s="342" t="n"/>
      <c r="K10" s="342" t="n"/>
      <c r="L10" s="342" t="n"/>
      <c r="M10" s="342" t="n"/>
      <c r="N10" s="342" t="n"/>
      <c r="O10" s="342" t="n"/>
      <c r="P10" s="344" t="n"/>
      <c r="Q10" s="342" t="n"/>
      <c r="R10" s="342" t="n"/>
      <c r="S10" s="342" t="n"/>
      <c r="T10" s="342" t="n"/>
      <c r="U10" s="342" t="n"/>
      <c r="V10" s="342" t="n"/>
      <c r="W10" s="342" t="n"/>
      <c r="X10" s="345" t="n"/>
      <c r="Y10" s="342" t="n"/>
      <c r="Z10" s="342" t="n"/>
      <c r="AA10" s="342" t="n"/>
      <c r="AB10" s="342" t="n"/>
      <c r="AC10" s="342" t="n"/>
      <c r="AD10" s="342" t="n"/>
      <c r="AE10" s="342" t="n"/>
      <c r="AF10" s="342" t="n"/>
      <c r="AG10" s="346">
        <f>IF(COUNT(D10:H10)=0,"",ROUND(AVERAGE(D10:H10),2))</f>
        <v/>
      </c>
      <c r="AH10" s="232">
        <f>IF(AG10="","",IF(AG10&gt;2.5,"ดี",IF(AG10&gt;1.5,"พอใช้","ปรับปรุง")))</f>
        <v/>
      </c>
      <c r="AI10" s="347">
        <f>IF(COUNT(I10:O10)=0,"",ROUND(AVERAGE(I10:O10),2))</f>
        <v/>
      </c>
      <c r="AJ10" s="232">
        <f>IF(AI10="","",IF(AI10&gt;2.5,"ดี",IF(AI10&gt;1.5,"พอใช้","ปรับปรุง")))</f>
        <v/>
      </c>
      <c r="AK10" s="348">
        <f>IF(COUNT(P10:W10)=0,"",ROUND(AVERAGE(P10:W10),2))</f>
        <v/>
      </c>
      <c r="AL10" s="232">
        <f>IF(AK10="","",IF(AK10&gt;2.5,"ดี",IF(AK10&gt;1.5,"พอใช้","ปรับปรุง")))</f>
        <v/>
      </c>
      <c r="AM10" s="349">
        <f>IF(COUNT(X10:AF10)=0,"",ROUND(AVERAGE(X10:AF10),2))</f>
        <v/>
      </c>
      <c r="AN10" s="232">
        <f>IF(AM10="","",IF(AM10&gt;2.5,"ดี",IF(AM10&gt;1.5,"พอใช้","ปรับปรุง")))</f>
        <v/>
      </c>
      <c r="AO10" s="350">
        <f>IF(COUNT(D10:AF10)=0,"",ROUND(AVERAGE(D10:AF10),2))</f>
        <v/>
      </c>
      <c r="AP10" s="232">
        <f>IF(AO10="","",IF(AO10&gt;2.5,"ดี",IF(AO10&gt;1.5,"พอใช้","ปรับปรุง")))</f>
        <v/>
      </c>
      <c r="AQ10" s="351" t="n"/>
    </row>
    <row r="11" ht="16" customHeight="1">
      <c r="A11" s="218" t="n">
        <v>3</v>
      </c>
      <c r="B11" s="219">
        <f>'ข้อมูลนักเรียน'!T11</f>
        <v/>
      </c>
      <c r="C11" s="340">
        <f>IF(B11="","",'ข้อมูลนักเรียน'!K11)</f>
        <v/>
      </c>
      <c r="D11" s="341" t="n"/>
      <c r="E11" s="342" t="n"/>
      <c r="F11" s="342" t="n"/>
      <c r="G11" s="342" t="n"/>
      <c r="H11" s="342" t="n"/>
      <c r="I11" s="343" t="n"/>
      <c r="J11" s="342" t="n"/>
      <c r="K11" s="342" t="n"/>
      <c r="L11" s="342" t="n"/>
      <c r="M11" s="342" t="n"/>
      <c r="N11" s="342" t="n"/>
      <c r="O11" s="342" t="n"/>
      <c r="P11" s="344" t="n"/>
      <c r="Q11" s="342" t="n"/>
      <c r="R11" s="342" t="n"/>
      <c r="S11" s="342" t="n"/>
      <c r="T11" s="342" t="n"/>
      <c r="U11" s="342" t="n"/>
      <c r="V11" s="342" t="n"/>
      <c r="W11" s="342" t="n"/>
      <c r="X11" s="345" t="n"/>
      <c r="Y11" s="342" t="n"/>
      <c r="Z11" s="342" t="n"/>
      <c r="AA11" s="342" t="n"/>
      <c r="AB11" s="342" t="n"/>
      <c r="AC11" s="342" t="n"/>
      <c r="AD11" s="342" t="n"/>
      <c r="AE11" s="342" t="n"/>
      <c r="AF11" s="342" t="n"/>
      <c r="AG11" s="346">
        <f>IF(COUNT(D11:H11)=0,"",ROUND(AVERAGE(D11:H11),2))</f>
        <v/>
      </c>
      <c r="AH11" s="232">
        <f>IF(AG11="","",IF(AG11&gt;2.5,"ดี",IF(AG11&gt;1.5,"พอใช้","ปรับปรุง")))</f>
        <v/>
      </c>
      <c r="AI11" s="347">
        <f>IF(COUNT(I11:O11)=0,"",ROUND(AVERAGE(I11:O11),2))</f>
        <v/>
      </c>
      <c r="AJ11" s="232">
        <f>IF(AI11="","",IF(AI11&gt;2.5,"ดี",IF(AI11&gt;1.5,"พอใช้","ปรับปรุง")))</f>
        <v/>
      </c>
      <c r="AK11" s="348">
        <f>IF(COUNT(P11:W11)=0,"",ROUND(AVERAGE(P11:W11),2))</f>
        <v/>
      </c>
      <c r="AL11" s="232">
        <f>IF(AK11="","",IF(AK11&gt;2.5,"ดี",IF(AK11&gt;1.5,"พอใช้","ปรับปรุง")))</f>
        <v/>
      </c>
      <c r="AM11" s="349">
        <f>IF(COUNT(X11:AF11)=0,"",ROUND(AVERAGE(X11:AF11),2))</f>
        <v/>
      </c>
      <c r="AN11" s="232">
        <f>IF(AM11="","",IF(AM11&gt;2.5,"ดี",IF(AM11&gt;1.5,"พอใช้","ปรับปรุง")))</f>
        <v/>
      </c>
      <c r="AO11" s="350">
        <f>IF(COUNT(D11:AF11)=0,"",ROUND(AVERAGE(D11:AF11),2))</f>
        <v/>
      </c>
      <c r="AP11" s="232">
        <f>IF(AO11="","",IF(AO11&gt;2.5,"ดี",IF(AO11&gt;1.5,"พอใช้","ปรับปรุง")))</f>
        <v/>
      </c>
      <c r="AQ11" s="351" t="n"/>
    </row>
    <row r="12" ht="16" customHeight="1">
      <c r="A12" s="226" t="n">
        <v>4</v>
      </c>
      <c r="B12" s="227">
        <f>'ข้อมูลนักเรียน'!T12</f>
        <v/>
      </c>
      <c r="C12" s="340">
        <f>IF(B12="","",'ข้อมูลนักเรียน'!K12)</f>
        <v/>
      </c>
      <c r="D12" s="341" t="n"/>
      <c r="E12" s="342" t="n"/>
      <c r="F12" s="342" t="n"/>
      <c r="G12" s="342" t="n"/>
      <c r="H12" s="342" t="n"/>
      <c r="I12" s="343" t="n"/>
      <c r="J12" s="342" t="n"/>
      <c r="K12" s="342" t="n"/>
      <c r="L12" s="342" t="n"/>
      <c r="M12" s="342" t="n"/>
      <c r="N12" s="342" t="n"/>
      <c r="O12" s="342" t="n"/>
      <c r="P12" s="344" t="n"/>
      <c r="Q12" s="342" t="n"/>
      <c r="R12" s="342" t="n"/>
      <c r="S12" s="342" t="n"/>
      <c r="T12" s="342" t="n"/>
      <c r="U12" s="342" t="n"/>
      <c r="V12" s="342" t="n"/>
      <c r="W12" s="342" t="n"/>
      <c r="X12" s="345" t="n"/>
      <c r="Y12" s="342" t="n"/>
      <c r="Z12" s="342" t="n"/>
      <c r="AA12" s="342" t="n"/>
      <c r="AB12" s="342" t="n"/>
      <c r="AC12" s="342" t="n"/>
      <c r="AD12" s="342" t="n"/>
      <c r="AE12" s="342" t="n"/>
      <c r="AF12" s="342" t="n"/>
      <c r="AG12" s="346">
        <f>IF(COUNT(D12:H12)=0,"",ROUND(AVERAGE(D12:H12),2))</f>
        <v/>
      </c>
      <c r="AH12" s="232">
        <f>IF(AG12="","",IF(AG12&gt;2.5,"ดี",IF(AG12&gt;1.5,"พอใช้","ปรับปรุง")))</f>
        <v/>
      </c>
      <c r="AI12" s="347">
        <f>IF(COUNT(I12:O12)=0,"",ROUND(AVERAGE(I12:O12),2))</f>
        <v/>
      </c>
      <c r="AJ12" s="232">
        <f>IF(AI12="","",IF(AI12&gt;2.5,"ดี",IF(AI12&gt;1.5,"พอใช้","ปรับปรุง")))</f>
        <v/>
      </c>
      <c r="AK12" s="348">
        <f>IF(COUNT(P12:W12)=0,"",ROUND(AVERAGE(P12:W12),2))</f>
        <v/>
      </c>
      <c r="AL12" s="232">
        <f>IF(AK12="","",IF(AK12&gt;2.5,"ดี",IF(AK12&gt;1.5,"พอใช้","ปรับปรุง")))</f>
        <v/>
      </c>
      <c r="AM12" s="349">
        <f>IF(COUNT(X12:AF12)=0,"",ROUND(AVERAGE(X12:AF12),2))</f>
        <v/>
      </c>
      <c r="AN12" s="232">
        <f>IF(AM12="","",IF(AM12&gt;2.5,"ดี",IF(AM12&gt;1.5,"พอใช้","ปรับปรุง")))</f>
        <v/>
      </c>
      <c r="AO12" s="350">
        <f>IF(COUNT(D12:AF12)=0,"",ROUND(AVERAGE(D12:AF12),2))</f>
        <v/>
      </c>
      <c r="AP12" s="232">
        <f>IF(AO12="","",IF(AO12&gt;2.5,"ดี",IF(AO12&gt;1.5,"พอใช้","ปรับปรุง")))</f>
        <v/>
      </c>
      <c r="AQ12" s="351" t="n"/>
    </row>
    <row r="13" ht="16" customHeight="1">
      <c r="A13" s="218" t="n">
        <v>5</v>
      </c>
      <c r="B13" s="219">
        <f>'ข้อมูลนักเรียน'!T13</f>
        <v/>
      </c>
      <c r="C13" s="340">
        <f>IF(B13="","",'ข้อมูลนักเรียน'!K13)</f>
        <v/>
      </c>
      <c r="D13" s="341" t="n"/>
      <c r="E13" s="342" t="n"/>
      <c r="F13" s="342" t="n"/>
      <c r="G13" s="342" t="n"/>
      <c r="H13" s="342" t="n"/>
      <c r="I13" s="343" t="n"/>
      <c r="J13" s="342" t="n"/>
      <c r="K13" s="342" t="n"/>
      <c r="L13" s="342" t="n"/>
      <c r="M13" s="342" t="n"/>
      <c r="N13" s="342" t="n"/>
      <c r="O13" s="342" t="n"/>
      <c r="P13" s="344" t="n"/>
      <c r="Q13" s="342" t="n"/>
      <c r="R13" s="342" t="n"/>
      <c r="S13" s="342" t="n"/>
      <c r="T13" s="342" t="n"/>
      <c r="U13" s="342" t="n"/>
      <c r="V13" s="342" t="n"/>
      <c r="W13" s="342" t="n"/>
      <c r="X13" s="345" t="n"/>
      <c r="Y13" s="342" t="n"/>
      <c r="Z13" s="342" t="n"/>
      <c r="AA13" s="342" t="n"/>
      <c r="AB13" s="342" t="n"/>
      <c r="AC13" s="342" t="n"/>
      <c r="AD13" s="342" t="n"/>
      <c r="AE13" s="342" t="n"/>
      <c r="AF13" s="342" t="n"/>
      <c r="AG13" s="346">
        <f>IF(COUNT(D13:H13)=0,"",ROUND(AVERAGE(D13:H13),2))</f>
        <v/>
      </c>
      <c r="AH13" s="232">
        <f>IF(AG13="","",IF(AG13&gt;2.5,"ดี",IF(AG13&gt;1.5,"พอใช้","ปรับปรุง")))</f>
        <v/>
      </c>
      <c r="AI13" s="347">
        <f>IF(COUNT(I13:O13)=0,"",ROUND(AVERAGE(I13:O13),2))</f>
        <v/>
      </c>
      <c r="AJ13" s="232">
        <f>IF(AI13="","",IF(AI13&gt;2.5,"ดี",IF(AI13&gt;1.5,"พอใช้","ปรับปรุง")))</f>
        <v/>
      </c>
      <c r="AK13" s="348">
        <f>IF(COUNT(P13:W13)=0,"",ROUND(AVERAGE(P13:W13),2))</f>
        <v/>
      </c>
      <c r="AL13" s="232">
        <f>IF(AK13="","",IF(AK13&gt;2.5,"ดี",IF(AK13&gt;1.5,"พอใช้","ปรับปรุง")))</f>
        <v/>
      </c>
      <c r="AM13" s="349">
        <f>IF(COUNT(X13:AF13)=0,"",ROUND(AVERAGE(X13:AF13),2))</f>
        <v/>
      </c>
      <c r="AN13" s="232">
        <f>IF(AM13="","",IF(AM13&gt;2.5,"ดี",IF(AM13&gt;1.5,"พอใช้","ปรับปรุง")))</f>
        <v/>
      </c>
      <c r="AO13" s="350">
        <f>IF(COUNT(D13:AF13)=0,"",ROUND(AVERAGE(D13:AF13),2))</f>
        <v/>
      </c>
      <c r="AP13" s="232">
        <f>IF(AO13="","",IF(AO13&gt;2.5,"ดี",IF(AO13&gt;1.5,"พอใช้","ปรับปรุง")))</f>
        <v/>
      </c>
      <c r="AQ13" s="351" t="n"/>
    </row>
    <row r="14">
      <c r="A14" s="352" t="inlineStr">
        <is>
          <t>ค่าเฉลี่ย</t>
        </is>
      </c>
      <c r="D14" s="353">
        <f>IFERROR(ROUND(AVERAGE(D9:D13),2),"")</f>
        <v/>
      </c>
      <c r="E14" s="354">
        <f>IFERROR(ROUND(AVERAGE(E9:E13),2),"")</f>
        <v/>
      </c>
      <c r="F14" s="354">
        <f>IFERROR(ROUND(AVERAGE(F9:F13),2),"")</f>
        <v/>
      </c>
      <c r="G14" s="354">
        <f>IFERROR(ROUND(AVERAGE(G9:G13),2),"")</f>
        <v/>
      </c>
      <c r="H14" s="354">
        <f>IFERROR(ROUND(AVERAGE(H9:H13),2),"")</f>
        <v/>
      </c>
      <c r="I14" s="355">
        <f>IFERROR(ROUND(AVERAGE(I9:I13),2),"")</f>
        <v/>
      </c>
      <c r="J14" s="356">
        <f>IFERROR(ROUND(AVERAGE(J9:J13),2),"")</f>
        <v/>
      </c>
      <c r="K14" s="356">
        <f>IFERROR(ROUND(AVERAGE(K9:K13),2),"")</f>
        <v/>
      </c>
      <c r="L14" s="356">
        <f>IFERROR(ROUND(AVERAGE(L9:L13),2),"")</f>
        <v/>
      </c>
      <c r="M14" s="356">
        <f>IFERROR(ROUND(AVERAGE(M9:M13),2),"")</f>
        <v/>
      </c>
      <c r="N14" s="356">
        <f>IFERROR(ROUND(AVERAGE(N9:N13),2),"")</f>
        <v/>
      </c>
      <c r="O14" s="356">
        <f>IFERROR(ROUND(AVERAGE(O9:O13),2),"")</f>
        <v/>
      </c>
      <c r="P14" s="357">
        <f>IFERROR(ROUND(AVERAGE(P9:P13),2),"")</f>
        <v/>
      </c>
      <c r="Q14" s="358">
        <f>IFERROR(ROUND(AVERAGE(Q9:Q13),2),"")</f>
        <v/>
      </c>
      <c r="R14" s="358">
        <f>IFERROR(ROUND(AVERAGE(R9:R13),2),"")</f>
        <v/>
      </c>
      <c r="S14" s="358">
        <f>IFERROR(ROUND(AVERAGE(S9:S13),2),"")</f>
        <v/>
      </c>
      <c r="T14" s="358">
        <f>IFERROR(ROUND(AVERAGE(T9:T13),2),"")</f>
        <v/>
      </c>
      <c r="U14" s="358">
        <f>IFERROR(ROUND(AVERAGE(U9:U13),2),"")</f>
        <v/>
      </c>
      <c r="V14" s="358">
        <f>IFERROR(ROUND(AVERAGE(V9:V13),2),"")</f>
        <v/>
      </c>
      <c r="W14" s="358">
        <f>IFERROR(ROUND(AVERAGE(W9:W13),2),"")</f>
        <v/>
      </c>
      <c r="X14" s="359">
        <f>IFERROR(ROUND(AVERAGE(X9:X13),2),"")</f>
        <v/>
      </c>
      <c r="Y14" s="360">
        <f>IFERROR(ROUND(AVERAGE(Y9:Y13),2),"")</f>
        <v/>
      </c>
      <c r="Z14" s="360">
        <f>IFERROR(ROUND(AVERAGE(Z9:Z13),2),"")</f>
        <v/>
      </c>
      <c r="AA14" s="360">
        <f>IFERROR(ROUND(AVERAGE(AA9:AA13),2),"")</f>
        <v/>
      </c>
      <c r="AB14" s="360">
        <f>IFERROR(ROUND(AVERAGE(AB9:AB13),2),"")</f>
        <v/>
      </c>
      <c r="AC14" s="360">
        <f>IFERROR(ROUND(AVERAGE(AC9:AC13),2),"")</f>
        <v/>
      </c>
      <c r="AD14" s="360">
        <f>IFERROR(ROUND(AVERAGE(AD9:AD13),2),"")</f>
        <v/>
      </c>
      <c r="AE14" s="360">
        <f>IFERROR(ROUND(AVERAGE(AE9:AE13),2),"")</f>
        <v/>
      </c>
      <c r="AF14" s="360">
        <f>IFERROR(ROUND(AVERAGE(AF9:AF13),2),"")</f>
        <v/>
      </c>
      <c r="AG14" s="361">
        <f>IFERROR(ROUND(AVERAGE(AG9:AG13),2),"")</f>
        <v/>
      </c>
      <c r="AI14" s="362">
        <f>IFERROR(ROUND(AVERAGE(AI9:AI13),2),"")</f>
        <v/>
      </c>
      <c r="AK14" s="363">
        <f>IFERROR(ROUND(AVERAGE(AK9:AK13),2),"")</f>
        <v/>
      </c>
      <c r="AM14" s="364">
        <f>IFERROR(ROUND(AVERAGE(AM9:AM13),2),"")</f>
        <v/>
      </c>
      <c r="AO14" s="365">
        <f>IFERROR(ROUND(AVERAGE(AO9:AO13),2),"")</f>
        <v/>
      </c>
    </row>
    <row r="15">
      <c r="A15" s="352" t="inlineStr">
        <is>
          <t>ระดับ 3 / ดี (คน)</t>
        </is>
      </c>
      <c r="D15" s="366">
        <f>COUNTIF(D9:D13,3)</f>
        <v/>
      </c>
      <c r="E15" s="367">
        <f>COUNTIF(E9:E13,3)</f>
        <v/>
      </c>
      <c r="F15" s="367">
        <f>COUNTIF(F9:F13,3)</f>
        <v/>
      </c>
      <c r="G15" s="367">
        <f>COUNTIF(G9:G13,3)</f>
        <v/>
      </c>
      <c r="H15" s="367">
        <f>COUNTIF(H9:H13,3)</f>
        <v/>
      </c>
      <c r="I15" s="368">
        <f>COUNTIF(I9:I13,3)</f>
        <v/>
      </c>
      <c r="J15" s="369">
        <f>COUNTIF(J9:J13,3)</f>
        <v/>
      </c>
      <c r="K15" s="369">
        <f>COUNTIF(K9:K13,3)</f>
        <v/>
      </c>
      <c r="L15" s="369">
        <f>COUNTIF(L9:L13,3)</f>
        <v/>
      </c>
      <c r="M15" s="369">
        <f>COUNTIF(M9:M13,3)</f>
        <v/>
      </c>
      <c r="N15" s="369">
        <f>COUNTIF(N9:N13,3)</f>
        <v/>
      </c>
      <c r="O15" s="369">
        <f>COUNTIF(O9:O13,3)</f>
        <v/>
      </c>
      <c r="P15" s="370">
        <f>COUNTIF(P9:P13,3)</f>
        <v/>
      </c>
      <c r="Q15" s="371">
        <f>COUNTIF(Q9:Q13,3)</f>
        <v/>
      </c>
      <c r="R15" s="371">
        <f>COUNTIF(R9:R13,3)</f>
        <v/>
      </c>
      <c r="S15" s="371">
        <f>COUNTIF(S9:S13,3)</f>
        <v/>
      </c>
      <c r="T15" s="371">
        <f>COUNTIF(T9:T13,3)</f>
        <v/>
      </c>
      <c r="U15" s="371">
        <f>COUNTIF(U9:U13,3)</f>
        <v/>
      </c>
      <c r="V15" s="371">
        <f>COUNTIF(V9:V13,3)</f>
        <v/>
      </c>
      <c r="W15" s="371">
        <f>COUNTIF(W9:W13,3)</f>
        <v/>
      </c>
      <c r="X15" s="372">
        <f>COUNTIF(X9:X13,3)</f>
        <v/>
      </c>
      <c r="Y15" s="373">
        <f>COUNTIF(Y9:Y13,3)</f>
        <v/>
      </c>
      <c r="Z15" s="373">
        <f>COUNTIF(Z9:Z13,3)</f>
        <v/>
      </c>
      <c r="AA15" s="373">
        <f>COUNTIF(AA9:AA13,3)</f>
        <v/>
      </c>
      <c r="AB15" s="373">
        <f>COUNTIF(AB9:AB13,3)</f>
        <v/>
      </c>
      <c r="AC15" s="373">
        <f>COUNTIF(AC9:AC13,3)</f>
        <v/>
      </c>
      <c r="AD15" s="373">
        <f>COUNTIF(AD9:AD13,3)</f>
        <v/>
      </c>
      <c r="AE15" s="373">
        <f>COUNTIF(AE9:AE13,3)</f>
        <v/>
      </c>
      <c r="AF15" s="373">
        <f>COUNTIF(AF9:AF13,3)</f>
        <v/>
      </c>
      <c r="AH15" s="367">
        <f>COUNTIF(AH9:AH13,"ดี")</f>
        <v/>
      </c>
      <c r="AJ15" s="369">
        <f>COUNTIF(AJ9:AJ13,"ดี")</f>
        <v/>
      </c>
      <c r="AL15" s="371">
        <f>COUNTIF(AL9:AL13,"ดี")</f>
        <v/>
      </c>
      <c r="AN15" s="373">
        <f>COUNTIF(AN9:AN13,"ดี")</f>
        <v/>
      </c>
      <c r="AP15" s="374">
        <f>COUNTIF(AP9:AP13,"ดี")</f>
        <v/>
      </c>
    </row>
    <row r="16">
      <c r="A16" s="352" t="inlineStr">
        <is>
          <t>ระดับ 2 / พอใช้ (คน)</t>
        </is>
      </c>
      <c r="D16" s="366">
        <f>COUNTIF(D9:D13,2)</f>
        <v/>
      </c>
      <c r="E16" s="367">
        <f>COUNTIF(E9:E13,2)</f>
        <v/>
      </c>
      <c r="F16" s="367">
        <f>COUNTIF(F9:F13,2)</f>
        <v/>
      </c>
      <c r="G16" s="367">
        <f>COUNTIF(G9:G13,2)</f>
        <v/>
      </c>
      <c r="H16" s="367">
        <f>COUNTIF(H9:H13,2)</f>
        <v/>
      </c>
      <c r="I16" s="368">
        <f>COUNTIF(I9:I13,2)</f>
        <v/>
      </c>
      <c r="J16" s="369">
        <f>COUNTIF(J9:J13,2)</f>
        <v/>
      </c>
      <c r="K16" s="369">
        <f>COUNTIF(K9:K13,2)</f>
        <v/>
      </c>
      <c r="L16" s="369">
        <f>COUNTIF(L9:L13,2)</f>
        <v/>
      </c>
      <c r="M16" s="369">
        <f>COUNTIF(M9:M13,2)</f>
        <v/>
      </c>
      <c r="N16" s="369">
        <f>COUNTIF(N9:N13,2)</f>
        <v/>
      </c>
      <c r="O16" s="369">
        <f>COUNTIF(O9:O13,2)</f>
        <v/>
      </c>
      <c r="P16" s="370">
        <f>COUNTIF(P9:P13,2)</f>
        <v/>
      </c>
      <c r="Q16" s="371">
        <f>COUNTIF(Q9:Q13,2)</f>
        <v/>
      </c>
      <c r="R16" s="371">
        <f>COUNTIF(R9:R13,2)</f>
        <v/>
      </c>
      <c r="S16" s="371">
        <f>COUNTIF(S9:S13,2)</f>
        <v/>
      </c>
      <c r="T16" s="371">
        <f>COUNTIF(T9:T13,2)</f>
        <v/>
      </c>
      <c r="U16" s="371">
        <f>COUNTIF(U9:U13,2)</f>
        <v/>
      </c>
      <c r="V16" s="371">
        <f>COUNTIF(V9:V13,2)</f>
        <v/>
      </c>
      <c r="W16" s="371">
        <f>COUNTIF(W9:W13,2)</f>
        <v/>
      </c>
      <c r="X16" s="372">
        <f>COUNTIF(X9:X13,2)</f>
        <v/>
      </c>
      <c r="Y16" s="373">
        <f>COUNTIF(Y9:Y13,2)</f>
        <v/>
      </c>
      <c r="Z16" s="373">
        <f>COUNTIF(Z9:Z13,2)</f>
        <v/>
      </c>
      <c r="AA16" s="373">
        <f>COUNTIF(AA9:AA13,2)</f>
        <v/>
      </c>
      <c r="AB16" s="373">
        <f>COUNTIF(AB9:AB13,2)</f>
        <v/>
      </c>
      <c r="AC16" s="373">
        <f>COUNTIF(AC9:AC13,2)</f>
        <v/>
      </c>
      <c r="AD16" s="373">
        <f>COUNTIF(AD9:AD13,2)</f>
        <v/>
      </c>
      <c r="AE16" s="373">
        <f>COUNTIF(AE9:AE13,2)</f>
        <v/>
      </c>
      <c r="AF16" s="373">
        <f>COUNTIF(AF9:AF13,2)</f>
        <v/>
      </c>
      <c r="AH16" s="367">
        <f>COUNTIF(AH9:AH13,"พอใช้")</f>
        <v/>
      </c>
      <c r="AJ16" s="369">
        <f>COUNTIF(AJ9:AJ13,"พอใช้")</f>
        <v/>
      </c>
      <c r="AL16" s="371">
        <f>COUNTIF(AL9:AL13,"พอใช้")</f>
        <v/>
      </c>
      <c r="AN16" s="373">
        <f>COUNTIF(AN9:AN13,"พอใช้")</f>
        <v/>
      </c>
      <c r="AP16" s="374">
        <f>COUNTIF(AP9:AP13,"พอใช้")</f>
        <v/>
      </c>
    </row>
    <row r="17">
      <c r="A17" s="352" t="inlineStr">
        <is>
          <t>ระดับ 1 / ปรับปรุง (คน)</t>
        </is>
      </c>
      <c r="D17" s="366">
        <f>COUNTIF(D9:D13,1)</f>
        <v/>
      </c>
      <c r="E17" s="367">
        <f>COUNTIF(E9:E13,1)</f>
        <v/>
      </c>
      <c r="F17" s="367">
        <f>COUNTIF(F9:F13,1)</f>
        <v/>
      </c>
      <c r="G17" s="367">
        <f>COUNTIF(G9:G13,1)</f>
        <v/>
      </c>
      <c r="H17" s="367">
        <f>COUNTIF(H9:H13,1)</f>
        <v/>
      </c>
      <c r="I17" s="368">
        <f>COUNTIF(I9:I13,1)</f>
        <v/>
      </c>
      <c r="J17" s="369">
        <f>COUNTIF(J9:J13,1)</f>
        <v/>
      </c>
      <c r="K17" s="369">
        <f>COUNTIF(K9:K13,1)</f>
        <v/>
      </c>
      <c r="L17" s="369">
        <f>COUNTIF(L9:L13,1)</f>
        <v/>
      </c>
      <c r="M17" s="369">
        <f>COUNTIF(M9:M13,1)</f>
        <v/>
      </c>
      <c r="N17" s="369">
        <f>COUNTIF(N9:N13,1)</f>
        <v/>
      </c>
      <c r="O17" s="369">
        <f>COUNTIF(O9:O13,1)</f>
        <v/>
      </c>
      <c r="P17" s="370">
        <f>COUNTIF(P9:P13,1)</f>
        <v/>
      </c>
      <c r="Q17" s="371">
        <f>COUNTIF(Q9:Q13,1)</f>
        <v/>
      </c>
      <c r="R17" s="371">
        <f>COUNTIF(R9:R13,1)</f>
        <v/>
      </c>
      <c r="S17" s="371">
        <f>COUNTIF(S9:S13,1)</f>
        <v/>
      </c>
      <c r="T17" s="371">
        <f>COUNTIF(T9:T13,1)</f>
        <v/>
      </c>
      <c r="U17" s="371">
        <f>COUNTIF(U9:U13,1)</f>
        <v/>
      </c>
      <c r="V17" s="371">
        <f>COUNTIF(V9:V13,1)</f>
        <v/>
      </c>
      <c r="W17" s="371">
        <f>COUNTIF(W9:W13,1)</f>
        <v/>
      </c>
      <c r="X17" s="372">
        <f>COUNTIF(X9:X13,1)</f>
        <v/>
      </c>
      <c r="Y17" s="373">
        <f>COUNTIF(Y9:Y13,1)</f>
        <v/>
      </c>
      <c r="Z17" s="373">
        <f>COUNTIF(Z9:Z13,1)</f>
        <v/>
      </c>
      <c r="AA17" s="373">
        <f>COUNTIF(AA9:AA13,1)</f>
        <v/>
      </c>
      <c r="AB17" s="373">
        <f>COUNTIF(AB9:AB13,1)</f>
        <v/>
      </c>
      <c r="AC17" s="373">
        <f>COUNTIF(AC9:AC13,1)</f>
        <v/>
      </c>
      <c r="AD17" s="373">
        <f>COUNTIF(AD9:AD13,1)</f>
        <v/>
      </c>
      <c r="AE17" s="373">
        <f>COUNTIF(AE9:AE13,1)</f>
        <v/>
      </c>
      <c r="AF17" s="373">
        <f>COUNTIF(AF9:AF13,1)</f>
        <v/>
      </c>
      <c r="AH17" s="367">
        <f>COUNTIF(AH9:AH13,"ปรับปรุง")</f>
        <v/>
      </c>
      <c r="AJ17" s="369">
        <f>COUNTIF(AJ9:AJ13,"ปรับปรุง")</f>
        <v/>
      </c>
      <c r="AL17" s="371">
        <f>COUNTIF(AL9:AL13,"ปรับปรุง")</f>
        <v/>
      </c>
      <c r="AN17" s="373">
        <f>COUNTIF(AN9:AN13,"ปรับปรุง")</f>
        <v/>
      </c>
      <c r="AP17" s="374">
        <f>COUNTIF(AP9:AP13,"ปรับปรุง")</f>
        <v/>
      </c>
    </row>
    <row r="18"/>
    <row r="19"/>
    <row r="20">
      <c r="B20" s="375" t="inlineStr">
        <is>
          <t>สรุปผลการประเมินพัฒนาการทั้งห้อง</t>
        </is>
      </c>
    </row>
    <row r="21">
      <c r="B21" s="312" t="inlineStr">
        <is>
          <t>ด้าน</t>
        </is>
      </c>
      <c r="C21" s="376" t="inlineStr">
        <is>
          <t>ประเมิน
(คน)</t>
        </is>
      </c>
      <c r="D21" s="376" t="inlineStr">
        <is>
          <t>ดี (คน)</t>
        </is>
      </c>
      <c r="G21" s="376" t="inlineStr">
        <is>
          <t>ร้อยละ</t>
        </is>
      </c>
      <c r="J21" s="376" t="inlineStr">
        <is>
          <t>พอใช้ (คน)</t>
        </is>
      </c>
      <c r="M21" s="376" t="inlineStr">
        <is>
          <t>ร้อยละ</t>
        </is>
      </c>
      <c r="P21" s="376" t="inlineStr">
        <is>
          <t>ปรับปรุง (คน)</t>
        </is>
      </c>
      <c r="S21" s="376" t="inlineStr">
        <is>
          <t>ร้อยละ</t>
        </is>
      </c>
    </row>
    <row r="22">
      <c r="B22" s="377" t="inlineStr">
        <is>
          <t>ด้านร่างกาย</t>
        </is>
      </c>
      <c r="C22" s="191">
        <f>COUNTIF(AH9:AH13,"?*")</f>
        <v/>
      </c>
      <c r="D22" s="153">
        <f>COUNTIF(AH9:AH13,"ดี")</f>
        <v/>
      </c>
      <c r="G22" s="378">
        <f>IFERROR(D22/C22,"")</f>
        <v/>
      </c>
      <c r="J22" s="152">
        <f>COUNTIF(AH9:AH13,"พอใช้")</f>
        <v/>
      </c>
      <c r="M22" s="379">
        <f>IFERROR(J22/C22,"")</f>
        <v/>
      </c>
      <c r="P22" s="151">
        <f>COUNTIF(AH9:AH13,"ปรับปรุง")</f>
        <v/>
      </c>
      <c r="S22" s="292">
        <f>IFERROR(P22/C22,"")</f>
        <v/>
      </c>
    </row>
    <row r="23">
      <c r="B23" s="380" t="inlineStr">
        <is>
          <t>ด้านอารมณ์ จิตใจ</t>
        </is>
      </c>
      <c r="C23" s="152">
        <f>COUNTIF(AJ9:AJ13,"?*")</f>
        <v/>
      </c>
      <c r="D23" s="153">
        <f>COUNTIF(AJ9:AJ13,"ดี")</f>
        <v/>
      </c>
      <c r="G23" s="378">
        <f>IFERROR(D23/C23,"")</f>
        <v/>
      </c>
      <c r="J23" s="152">
        <f>COUNTIF(AJ9:AJ13,"พอใช้")</f>
        <v/>
      </c>
      <c r="M23" s="379">
        <f>IFERROR(J23/C23,"")</f>
        <v/>
      </c>
      <c r="P23" s="151">
        <f>COUNTIF(AJ9:AJ13,"ปรับปรุง")</f>
        <v/>
      </c>
      <c r="S23" s="292">
        <f>IFERROR(P23/C23,"")</f>
        <v/>
      </c>
    </row>
    <row r="24">
      <c r="B24" s="381" t="inlineStr">
        <is>
          <t>ด้านสังคม</t>
        </is>
      </c>
      <c r="C24" s="382">
        <f>COUNTIF(AL9:AL13,"?*")</f>
        <v/>
      </c>
      <c r="D24" s="153">
        <f>COUNTIF(AL9:AL13,"ดี")</f>
        <v/>
      </c>
      <c r="G24" s="378">
        <f>IFERROR(D24/C24,"")</f>
        <v/>
      </c>
      <c r="J24" s="152">
        <f>COUNTIF(AL9:AL13,"พอใช้")</f>
        <v/>
      </c>
      <c r="M24" s="379">
        <f>IFERROR(J24/C24,"")</f>
        <v/>
      </c>
      <c r="P24" s="151">
        <f>COUNTIF(AL9:AL13,"ปรับปรุง")</f>
        <v/>
      </c>
      <c r="S24" s="292">
        <f>IFERROR(P24/C24,"")</f>
        <v/>
      </c>
    </row>
    <row r="25">
      <c r="B25" s="383" t="inlineStr">
        <is>
          <t>ด้านสติปัญญา</t>
        </is>
      </c>
      <c r="C25" s="185">
        <f>COUNTIF(AN9:AN13,"?*")</f>
        <v/>
      </c>
      <c r="D25" s="153">
        <f>COUNTIF(AN9:AN13,"ดี")</f>
        <v/>
      </c>
      <c r="G25" s="378">
        <f>IFERROR(D25/C25,"")</f>
        <v/>
      </c>
      <c r="J25" s="152">
        <f>COUNTIF(AN9:AN13,"พอใช้")</f>
        <v/>
      </c>
      <c r="M25" s="379">
        <f>IFERROR(J25/C25,"")</f>
        <v/>
      </c>
      <c r="P25" s="151">
        <f>COUNTIF(AN9:AN13,"ปรับปรุง")</f>
        <v/>
      </c>
      <c r="S25" s="292">
        <f>IFERROR(P25/C25,"")</f>
        <v/>
      </c>
    </row>
    <row r="26">
      <c r="B26" s="384" t="inlineStr">
        <is>
          <t>ภาพรวม</t>
        </is>
      </c>
      <c r="C26" s="156">
        <f>COUNTIF(AP9:AP13,"?*")</f>
        <v/>
      </c>
      <c r="D26" s="153">
        <f>COUNTIF(AP9:AP13,"ดี")</f>
        <v/>
      </c>
      <c r="G26" s="378">
        <f>IFERROR(D26/C26,"")</f>
        <v/>
      </c>
      <c r="J26" s="152">
        <f>COUNTIF(AP9:AP13,"พอใช้")</f>
        <v/>
      </c>
      <c r="M26" s="379">
        <f>IFERROR(J26/C26,"")</f>
        <v/>
      </c>
      <c r="P26" s="151">
        <f>COUNTIF(AP9:AP13,"ปรับปรุง")</f>
        <v/>
      </c>
      <c r="S26" s="292">
        <f>IFERROR(P26/C26,"")</f>
        <v/>
      </c>
    </row>
    <row r="27"/>
    <row r="28"/>
    <row r="29">
      <c r="B29" s="246" t="inlineStr">
        <is>
          <t>ลงชื่อ ........................................................</t>
        </is>
      </c>
      <c r="X29" s="246" t="inlineStr">
        <is>
          <t>ลงชื่อ ........................................................</t>
        </is>
      </c>
    </row>
    <row r="30">
      <c r="B30" s="246">
        <f>"( "&amp;IF('ข้อมูลโรงเรียน'!$C$9="","..................................................",'ข้อมูลโรงเรียน'!$C$9)&amp;" )"</f>
        <v/>
      </c>
      <c r="X30" s="246">
        <f>"( "&amp;IF('ข้อมูลโรงเรียน'!$C$11="","..................................................",'ข้อมูลโรงเรียน'!$C$11)&amp;" )"</f>
        <v/>
      </c>
    </row>
    <row r="31">
      <c r="B31" s="277" t="inlineStr">
        <is>
          <t>ครูประจำชั้น</t>
        </is>
      </c>
      <c r="X3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75">
    <mergeCell ref="AO5:AP6"/>
    <mergeCell ref="I5:O5"/>
    <mergeCell ref="P21:R21"/>
    <mergeCell ref="C5:C8"/>
    <mergeCell ref="AK5:AL6"/>
    <mergeCell ref="I6:J6"/>
    <mergeCell ref="J24:L24"/>
    <mergeCell ref="S23:U23"/>
    <mergeCell ref="M22:O22"/>
    <mergeCell ref="L6:O6"/>
    <mergeCell ref="AJ7:AJ8"/>
    <mergeCell ref="P23:R23"/>
    <mergeCell ref="M25:O25"/>
    <mergeCell ref="AL7:AL8"/>
    <mergeCell ref="J26:L26"/>
    <mergeCell ref="M21:O21"/>
    <mergeCell ref="K6"/>
    <mergeCell ref="D21:F21"/>
    <mergeCell ref="G24:I24"/>
    <mergeCell ref="J25:L25"/>
    <mergeCell ref="X5:AF5"/>
    <mergeCell ref="J22:L22"/>
    <mergeCell ref="A14:C14"/>
    <mergeCell ref="S24:U24"/>
    <mergeCell ref="A17:C17"/>
    <mergeCell ref="AI7:AI8"/>
    <mergeCell ref="G6:H6"/>
    <mergeCell ref="G26:I26"/>
    <mergeCell ref="M26:O26"/>
    <mergeCell ref="AG7:AG8"/>
    <mergeCell ref="AG5:AH6"/>
    <mergeCell ref="AM7:AM8"/>
    <mergeCell ref="J21:L21"/>
    <mergeCell ref="AI5:AJ6"/>
    <mergeCell ref="M24:O24"/>
    <mergeCell ref="D24:F24"/>
    <mergeCell ref="D25:F25"/>
    <mergeCell ref="G25:I25"/>
    <mergeCell ref="AQ5:AQ8"/>
    <mergeCell ref="M23:O23"/>
    <mergeCell ref="X6:Y6"/>
    <mergeCell ref="D23:F23"/>
    <mergeCell ref="G22:I22"/>
    <mergeCell ref="P24:R24"/>
    <mergeCell ref="S6:T6"/>
    <mergeCell ref="J23:L23"/>
    <mergeCell ref="S22:U22"/>
    <mergeCell ref="D26:F26"/>
    <mergeCell ref="S26:U26"/>
    <mergeCell ref="AN7:AN8"/>
    <mergeCell ref="A5:A8"/>
    <mergeCell ref="Z6:AB6"/>
    <mergeCell ref="AP7:AP8"/>
    <mergeCell ref="A15:C15"/>
    <mergeCell ref="G21:I21"/>
    <mergeCell ref="AH7:AH8"/>
    <mergeCell ref="S25:U25"/>
    <mergeCell ref="P26:R26"/>
    <mergeCell ref="U6:W6"/>
    <mergeCell ref="B5:B8"/>
    <mergeCell ref="S21:U21"/>
    <mergeCell ref="P25:R25"/>
    <mergeCell ref="AC6:AD6"/>
    <mergeCell ref="AE6:AF6"/>
    <mergeCell ref="D22:F22"/>
    <mergeCell ref="G23:I23"/>
    <mergeCell ref="P22:R22"/>
    <mergeCell ref="D5:H5"/>
    <mergeCell ref="AK7:AK8"/>
    <mergeCell ref="P5:W5"/>
    <mergeCell ref="AO7:AO8"/>
    <mergeCell ref="D6:F6"/>
    <mergeCell ref="P6:R6"/>
    <mergeCell ref="A16:C16"/>
    <mergeCell ref="AM5:AN6"/>
  </mergeCells>
  <conditionalFormatting sqref="A9:LH13">
    <cfRule type="expression" priority="1" dxfId="0" stopIfTrue="1">
      <formula>$B9=""</formula>
    </cfRule>
  </conditionalFormatting>
  <conditionalFormatting sqref="D9:AF13">
    <cfRule type="expression" priority="2" dxfId="2">
      <formula>D9=3</formula>
    </cfRule>
    <cfRule type="expression" priority="3" dxfId="11">
      <formula>D9=2</formula>
    </cfRule>
    <cfRule type="expression" priority="4" dxfId="1">
      <formula>D9=1</formula>
    </cfRule>
  </conditionalFormatting>
  <conditionalFormatting sqref="AG9:AP13">
    <cfRule type="expression" priority="5" dxfId="2">
      <formula>AG9="ดี"</formula>
    </cfRule>
    <cfRule type="expression" priority="6" dxfId="11">
      <formula>AG9="พอใช้"</formula>
    </cfRule>
    <cfRule type="expression" priority="7" dxfId="1">
      <formula>AG9="ปรับปรุง"</formula>
    </cfRule>
  </conditionalFormatting>
  <dataValidations count="1">
    <dataValidation sqref="D9:AF13" showDropDown="0" showInputMessage="0" showErrorMessage="0" allowBlank="1" errorTitle="ตรวจสอบข้อมูล" error="ให้คะแนน 1, 2 หรือ 3" type="whole" operator="between">
      <formula1>1</formula1>
      <formula2>3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E80A6"/>
    <outlinePr summaryBelow="1" summaryRight="1"/>
    <pageSetUpPr fitToPage="1"/>
  </sheetPr>
  <dimension ref="A1:AQ3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9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6" customWidth="1" min="33" max="33"/>
    <col width="7.5" customWidth="1" min="34" max="34"/>
    <col width="6" customWidth="1" min="35" max="35"/>
    <col width="7.5" customWidth="1" min="36" max="36"/>
    <col width="6" customWidth="1" min="37" max="37"/>
    <col width="7.5" customWidth="1" min="38" max="38"/>
    <col width="6" customWidth="1" min="39" max="39"/>
    <col width="7.5" customWidth="1" min="40" max="40"/>
    <col width="6" customWidth="1" min="41" max="41"/>
    <col width="7.5" customWidth="1" min="42" max="42"/>
    <col width="34" customWidth="1" min="43" max="43"/>
  </cols>
  <sheetData>
    <row r="1" ht="48" customHeight="1">
      <c r="A1" s="296" t="inlineStr">
        <is>
          <t>🏠</t>
        </is>
      </c>
      <c r="B1" s="297" t="n"/>
      <c r="C1" s="297" t="n"/>
      <c r="D1" s="297" t="n"/>
      <c r="E1" s="297" t="n"/>
      <c r="F1" s="297" t="n"/>
      <c r="G1" s="297" t="n"/>
      <c r="H1" s="297" t="n"/>
      <c r="I1" s="297" t="n"/>
      <c r="J1" s="297" t="n"/>
      <c r="K1" s="297" t="n"/>
      <c r="L1" s="297" t="n"/>
      <c r="M1" s="297" t="n"/>
      <c r="N1" s="297" t="n"/>
      <c r="O1" s="297" t="n"/>
      <c r="P1" s="297" t="n"/>
      <c r="Q1" s="297" t="n"/>
      <c r="R1" s="297" t="n"/>
      <c r="S1" s="297" t="n"/>
      <c r="T1" s="297" t="n"/>
      <c r="U1" s="297" t="n"/>
      <c r="V1" s="297" t="n"/>
      <c r="W1" s="297" t="n"/>
      <c r="X1" s="297" t="n"/>
      <c r="Y1" s="297" t="n"/>
      <c r="Z1" s="297" t="n"/>
      <c r="AA1" s="297" t="n"/>
      <c r="AB1" s="297" t="n"/>
      <c r="AC1" s="297" t="n"/>
      <c r="AD1" s="297" t="n"/>
      <c r="AE1" s="297" t="n"/>
      <c r="AF1" s="297" t="n"/>
      <c r="AG1" s="297" t="n"/>
      <c r="AH1" s="297" t="n"/>
      <c r="AI1" s="297" t="n"/>
      <c r="AJ1" s="297" t="n"/>
      <c r="AK1" s="297" t="n"/>
      <c r="AL1" s="297" t="n"/>
      <c r="AM1" s="297" t="n"/>
      <c r="AN1" s="297" t="n"/>
      <c r="AO1" s="297" t="n"/>
      <c r="AP1" s="297" t="n"/>
      <c r="AQ1" s="297" t="n"/>
    </row>
    <row r="2" ht="20" customHeight="1">
      <c r="A2" s="298" t="inlineStr">
        <is>
          <t>หน้าหลัก</t>
        </is>
      </c>
      <c r="B2" s="29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300" t="n"/>
      <c r="D2" s="300" t="n"/>
      <c r="E2" s="300" t="n"/>
      <c r="F2" s="300" t="n"/>
      <c r="G2" s="300" t="n"/>
      <c r="H2" s="300" t="n"/>
      <c r="I2" s="300" t="n"/>
      <c r="J2" s="300" t="n"/>
      <c r="K2" s="300" t="n"/>
      <c r="L2" s="300" t="n"/>
      <c r="M2" s="300" t="n"/>
      <c r="N2" s="300" t="n"/>
      <c r="O2" s="300" t="n"/>
      <c r="P2" s="300" t="n"/>
      <c r="Q2" s="300" t="n"/>
      <c r="R2" s="300" t="n"/>
      <c r="S2" s="300" t="n"/>
      <c r="T2" s="300" t="n"/>
      <c r="U2" s="300" t="n"/>
      <c r="V2" s="300" t="n"/>
      <c r="W2" s="300" t="n"/>
      <c r="X2" s="300" t="n"/>
      <c r="Y2" s="300" t="n"/>
      <c r="Z2" s="300" t="n"/>
      <c r="AA2" s="300" t="n"/>
      <c r="AB2" s="300" t="n"/>
      <c r="AC2" s="300" t="n"/>
      <c r="AD2" s="300" t="n"/>
      <c r="AE2" s="300" t="n"/>
      <c r="AF2" s="300" t="n"/>
      <c r="AG2" s="300" t="n"/>
      <c r="AH2" s="300" t="n"/>
      <c r="AI2" s="300" t="n"/>
      <c r="AJ2" s="300" t="n"/>
      <c r="AK2" s="300" t="n"/>
      <c r="AL2" s="300" t="n"/>
      <c r="AM2" s="300" t="n"/>
      <c r="AN2" s="300" t="n"/>
      <c r="AO2" s="300" t="n"/>
      <c r="AP2" s="300" t="n"/>
      <c r="AQ2" s="300" t="n"/>
    </row>
    <row r="3">
      <c r="B3" s="301" t="inlineStr">
        <is>
          <t>ให้คะแนนรายตัวบ่งชี้   3 = ดี     2 = พอใช้     1 = ปรับปรุง   •   ผลรายด้านคำนวณจากค่าเฉลี่ย (เกิน 2.50 = ดี, เกิน 1.50 = พอใช้)</t>
        </is>
      </c>
    </row>
    <row r="4"/>
    <row r="5" ht="22" customHeight="1">
      <c r="A5" s="302" t="inlineStr">
        <is>
          <t>เลขที่</t>
        </is>
      </c>
      <c r="B5" s="302" t="inlineStr">
        <is>
          <t>ชื่อ - สกุล</t>
        </is>
      </c>
      <c r="C5" s="303" t="inlineStr">
        <is>
          <t>อายุ</t>
        </is>
      </c>
      <c r="D5" s="304" t="inlineStr">
        <is>
          <t>ด้านร่างกาย</t>
        </is>
      </c>
      <c r="I5" s="305" t="inlineStr">
        <is>
          <t>ด้านอารมณ์ จิตใจ</t>
        </is>
      </c>
      <c r="P5" s="306" t="inlineStr">
        <is>
          <t>ด้านสังคม</t>
        </is>
      </c>
      <c r="X5" s="307" t="inlineStr">
        <is>
          <t>ด้านสติปัญญา</t>
        </is>
      </c>
      <c r="AG5" s="308" t="inlineStr">
        <is>
          <t>ด้านร่างกาย</t>
        </is>
      </c>
      <c r="AI5" s="309" t="inlineStr">
        <is>
          <t>ด้านอารมณ์ จิตใจ</t>
        </is>
      </c>
      <c r="AK5" s="310" t="inlineStr">
        <is>
          <t>ด้านสังคม</t>
        </is>
      </c>
      <c r="AM5" s="311" t="inlineStr">
        <is>
          <t>ด้านสติปัญญา</t>
        </is>
      </c>
      <c r="AO5" s="312" t="inlineStr">
        <is>
          <t>ภาพรวม</t>
        </is>
      </c>
      <c r="AQ5" s="313" t="inlineStr">
        <is>
          <t>ความคิดเห็นของครู
(แสดงในสมุดรายงานประจำตัว)</t>
        </is>
      </c>
    </row>
    <row r="6">
      <c r="D6" s="314" t="inlineStr">
        <is>
          <t>มฐ.1</t>
        </is>
      </c>
      <c r="G6" s="315" t="inlineStr">
        <is>
          <t>มฐ.2</t>
        </is>
      </c>
      <c r="I6" s="316" t="inlineStr">
        <is>
          <t>มฐ.3</t>
        </is>
      </c>
      <c r="K6" s="317" t="inlineStr">
        <is>
          <t>มฐ.4</t>
        </is>
      </c>
      <c r="L6" s="317" t="inlineStr">
        <is>
          <t>มฐ.5</t>
        </is>
      </c>
      <c r="P6" s="318" t="inlineStr">
        <is>
          <t>มฐ.6</t>
        </is>
      </c>
      <c r="S6" s="319" t="inlineStr">
        <is>
          <t>มฐ.7</t>
        </is>
      </c>
      <c r="U6" s="319" t="inlineStr">
        <is>
          <t>มฐ.8</t>
        </is>
      </c>
      <c r="X6" s="320" t="inlineStr">
        <is>
          <t>มฐ.9</t>
        </is>
      </c>
      <c r="Z6" s="321" t="inlineStr">
        <is>
          <t>มฐ.10</t>
        </is>
      </c>
      <c r="AC6" s="321" t="inlineStr">
        <is>
          <t>มฐ.11</t>
        </is>
      </c>
      <c r="AE6" s="321" t="inlineStr">
        <is>
          <t>มฐ.12</t>
        </is>
      </c>
    </row>
    <row r="7">
      <c r="D7" s="322" t="inlineStr">
        <is>
          <t>1.1</t>
        </is>
      </c>
      <c r="E7" s="323" t="inlineStr">
        <is>
          <t>1.2</t>
        </is>
      </c>
      <c r="F7" s="323" t="inlineStr">
        <is>
          <t>1.3</t>
        </is>
      </c>
      <c r="G7" s="323" t="inlineStr">
        <is>
          <t>2.1</t>
        </is>
      </c>
      <c r="H7" s="323" t="inlineStr">
        <is>
          <t>2.2</t>
        </is>
      </c>
      <c r="I7" s="324" t="inlineStr">
        <is>
          <t>3.1</t>
        </is>
      </c>
      <c r="J7" s="325" t="inlineStr">
        <is>
          <t>3.2</t>
        </is>
      </c>
      <c r="K7" s="325" t="inlineStr">
        <is>
          <t>4.1</t>
        </is>
      </c>
      <c r="L7" s="325" t="inlineStr">
        <is>
          <t>5.1</t>
        </is>
      </c>
      <c r="M7" s="325" t="inlineStr">
        <is>
          <t>5.2</t>
        </is>
      </c>
      <c r="N7" s="325" t="inlineStr">
        <is>
          <t>5.3</t>
        </is>
      </c>
      <c r="O7" s="325" t="inlineStr">
        <is>
          <t>5.4</t>
        </is>
      </c>
      <c r="P7" s="326" t="inlineStr">
        <is>
          <t>6.1</t>
        </is>
      </c>
      <c r="Q7" s="327" t="inlineStr">
        <is>
          <t>6.2</t>
        </is>
      </c>
      <c r="R7" s="327" t="inlineStr">
        <is>
          <t>6.3</t>
        </is>
      </c>
      <c r="S7" s="327" t="inlineStr">
        <is>
          <t>7.1</t>
        </is>
      </c>
      <c r="T7" s="327" t="inlineStr">
        <is>
          <t>7.2</t>
        </is>
      </c>
      <c r="U7" s="327" t="inlineStr">
        <is>
          <t>8.1</t>
        </is>
      </c>
      <c r="V7" s="327" t="inlineStr">
        <is>
          <t>8.2</t>
        </is>
      </c>
      <c r="W7" s="327" t="inlineStr">
        <is>
          <t>8.3</t>
        </is>
      </c>
      <c r="X7" s="328" t="inlineStr">
        <is>
          <t>9.1</t>
        </is>
      </c>
      <c r="Y7" s="329" t="inlineStr">
        <is>
          <t>9.2</t>
        </is>
      </c>
      <c r="Z7" s="329" t="inlineStr">
        <is>
          <t>10.1</t>
        </is>
      </c>
      <c r="AA7" s="329" t="inlineStr">
        <is>
          <t>10.2</t>
        </is>
      </c>
      <c r="AB7" s="329" t="inlineStr">
        <is>
          <t>10.3</t>
        </is>
      </c>
      <c r="AC7" s="329" t="inlineStr">
        <is>
          <t>11.1</t>
        </is>
      </c>
      <c r="AD7" s="329" t="inlineStr">
        <is>
          <t>11.2</t>
        </is>
      </c>
      <c r="AE7" s="329" t="inlineStr">
        <is>
          <t>12.1</t>
        </is>
      </c>
      <c r="AF7" s="329" t="inlineStr">
        <is>
          <t>12.2</t>
        </is>
      </c>
      <c r="AG7" s="330" t="inlineStr">
        <is>
          <t>คะแนน
เฉลี่ย</t>
        </is>
      </c>
      <c r="AH7" s="330" t="inlineStr">
        <is>
          <t>ผล</t>
        </is>
      </c>
      <c r="AI7" s="331" t="inlineStr">
        <is>
          <t>คะแนน
เฉลี่ย</t>
        </is>
      </c>
      <c r="AJ7" s="331" t="inlineStr">
        <is>
          <t>ผล</t>
        </is>
      </c>
      <c r="AK7" s="332" t="inlineStr">
        <is>
          <t>คะแนน
เฉลี่ย</t>
        </is>
      </c>
      <c r="AL7" s="332" t="inlineStr">
        <is>
          <t>ผล</t>
        </is>
      </c>
      <c r="AM7" s="333" t="inlineStr">
        <is>
          <t>คะแนน
เฉลี่ย</t>
        </is>
      </c>
      <c r="AN7" s="333" t="inlineStr">
        <is>
          <t>ผล</t>
        </is>
      </c>
      <c r="AO7" s="334" t="inlineStr">
        <is>
          <t>คะแนน
เฉลี่ย</t>
        </is>
      </c>
      <c r="AP7" s="334" t="inlineStr">
        <is>
          <t>ผล</t>
        </is>
      </c>
    </row>
    <row r="8" ht="125" customHeight="1">
      <c r="D8" s="335" t="inlineStr">
        <is>
          <t>น้ำหนักและส่วนสูงตามเกณฑ์</t>
        </is>
      </c>
      <c r="E8" s="336" t="inlineStr">
        <is>
          <t>มีสุขภาพอนามัย สุขนิสัยที่ดี</t>
        </is>
      </c>
      <c r="F8" s="336" t="inlineStr">
        <is>
          <t>รักษาความปลอดภัยของตนเองและผู้อื่น</t>
        </is>
      </c>
      <c r="G8" s="336" t="inlineStr">
        <is>
          <t>เคลื่อนไหวร่างกายอย่างคล่องแคล่ว ประสานสัมพันธ์และทรงตัวได้</t>
        </is>
      </c>
      <c r="H8" s="336" t="inlineStr">
        <is>
          <t>ใช้มือ-ตาประสานสัมพันธ์กัน</t>
        </is>
      </c>
      <c r="I8" s="337" t="inlineStr">
        <is>
          <t>แสดงออกทางอารมณ์ได้อย่างเหมาะสม</t>
        </is>
      </c>
      <c r="J8" s="336" t="inlineStr">
        <is>
          <t>มีความรู้สึกที่ดีต่อตนเองและผู้อื่น</t>
        </is>
      </c>
      <c r="K8" s="336" t="inlineStr">
        <is>
          <t>สนใจ มีความสุขและแสดงออกผ่านงานศิลปะ ดนตรีและการเคลื่อนไหว</t>
        </is>
      </c>
      <c r="L8" s="336" t="inlineStr">
        <is>
          <t>ซื่อสัตย์สุจริต</t>
        </is>
      </c>
      <c r="M8" s="336" t="inlineStr">
        <is>
          <t>มีความเมตตากรุณา มีน้ำใจ และช่วยเหลือแบ่งปัน</t>
        </is>
      </c>
      <c r="N8" s="336" t="inlineStr">
        <is>
          <t>มีความเห็นอกเห็นใจผู้อื่น</t>
        </is>
      </c>
      <c r="O8" s="336" t="inlineStr">
        <is>
          <t>มีความรับผิดชอบ</t>
        </is>
      </c>
      <c r="P8" s="338" t="inlineStr">
        <is>
          <t>ช่วยเหลือตนเองในการปฏิบัติกิจวัตรประจำวัน</t>
        </is>
      </c>
      <c r="Q8" s="336" t="inlineStr">
        <is>
          <t>มีวินัยในตนเอง</t>
        </is>
      </c>
      <c r="R8" s="336" t="inlineStr">
        <is>
          <t>ประหยัดและพอเพียง</t>
        </is>
      </c>
      <c r="S8" s="336" t="inlineStr">
        <is>
          <t>ดูแลรักษาธรรมชาติและสิ่งแวดล้อม</t>
        </is>
      </c>
      <c r="T8" s="336" t="inlineStr">
        <is>
          <t>มีมารยาทตามวัฒนธรรมไทยและรักความเป็นไทย</t>
        </is>
      </c>
      <c r="U8" s="336" t="inlineStr">
        <is>
          <t>ยอมรับความเหมือนและความแตกต่างระหว่างบุคคล</t>
        </is>
      </c>
      <c r="V8" s="336" t="inlineStr">
        <is>
          <t>มีปฏิสัมพันธ์ที่ดีกับผู้อื่น</t>
        </is>
      </c>
      <c r="W8" s="336" t="inlineStr">
        <is>
          <t>ปฏิบัติตนเบื้องต้นในการเป็นสมาชิกที่ดีของสังคม</t>
        </is>
      </c>
      <c r="X8" s="339" t="inlineStr">
        <is>
          <t>สนทนาโต้ตอบและเล่าเรื่องให้ผู้อื่นเข้าใจ</t>
        </is>
      </c>
      <c r="Y8" s="336" t="inlineStr">
        <is>
          <t>อ่าน เขียนภาพ และสัญลักษณ์ได้</t>
        </is>
      </c>
      <c r="Z8" s="336" t="inlineStr">
        <is>
          <t>มีความสามารถในการคิดรวบยอด</t>
        </is>
      </c>
      <c r="AA8" s="336" t="inlineStr">
        <is>
          <t>มีความสามารถในการคิดเชิงเหตุผล</t>
        </is>
      </c>
      <c r="AB8" s="336" t="inlineStr">
        <is>
          <t>มีความสามารถในการคิดแก้ปัญหาและตัดสินใจ</t>
        </is>
      </c>
      <c r="AC8" s="336" t="inlineStr">
        <is>
          <t>ทำงานศิลปะตามจินตนาการและความคิดสร้างสรรค์</t>
        </is>
      </c>
      <c r="AD8" s="336" t="inlineStr">
        <is>
          <t>แสดงท่าทาง/เคลื่อนไหวตามจินตนาการอย่างสร้างสรรค์</t>
        </is>
      </c>
      <c r="AE8" s="336" t="inlineStr">
        <is>
          <t>มีเจตคติที่ดีต่อการเรียนรู้</t>
        </is>
      </c>
      <c r="AF8" s="336" t="inlineStr">
        <is>
          <t>มีความสามารถในการแสวงหาความรู้</t>
        </is>
      </c>
    </row>
    <row r="9" ht="16" customHeight="1">
      <c r="A9" s="218" t="n">
        <v>1</v>
      </c>
      <c r="B9" s="219">
        <f>'ข้อมูลนักเรียน'!T9</f>
        <v/>
      </c>
      <c r="C9" s="340">
        <f>IF(B9="","",'ข้อมูลนักเรียน'!K9)</f>
        <v/>
      </c>
      <c r="D9" s="341" t="n"/>
      <c r="E9" s="342" t="n"/>
      <c r="F9" s="342" t="n"/>
      <c r="G9" s="342" t="n"/>
      <c r="H9" s="342" t="n"/>
      <c r="I9" s="343" t="n"/>
      <c r="J9" s="342" t="n"/>
      <c r="K9" s="342" t="n"/>
      <c r="L9" s="342" t="n"/>
      <c r="M9" s="342" t="n"/>
      <c r="N9" s="342" t="n"/>
      <c r="O9" s="342" t="n"/>
      <c r="P9" s="344" t="n"/>
      <c r="Q9" s="342" t="n"/>
      <c r="R9" s="342" t="n"/>
      <c r="S9" s="342" t="n"/>
      <c r="T9" s="342" t="n"/>
      <c r="U9" s="342" t="n"/>
      <c r="V9" s="342" t="n"/>
      <c r="W9" s="342" t="n"/>
      <c r="X9" s="345" t="n"/>
      <c r="Y9" s="342" t="n"/>
      <c r="Z9" s="342" t="n"/>
      <c r="AA9" s="342" t="n"/>
      <c r="AB9" s="342" t="n"/>
      <c r="AC9" s="342" t="n"/>
      <c r="AD9" s="342" t="n"/>
      <c r="AE9" s="342" t="n"/>
      <c r="AF9" s="342" t="n"/>
      <c r="AG9" s="346">
        <f>IF(COUNT(D9:H9)=0,"",ROUND(AVERAGE(D9:H9),2))</f>
        <v/>
      </c>
      <c r="AH9" s="232">
        <f>IF(AG9="","",IF(AG9&gt;2.5,"ดี",IF(AG9&gt;1.5,"พอใช้","ปรับปรุง")))</f>
        <v/>
      </c>
      <c r="AI9" s="347">
        <f>IF(COUNT(I9:O9)=0,"",ROUND(AVERAGE(I9:O9),2))</f>
        <v/>
      </c>
      <c r="AJ9" s="232">
        <f>IF(AI9="","",IF(AI9&gt;2.5,"ดี",IF(AI9&gt;1.5,"พอใช้","ปรับปรุง")))</f>
        <v/>
      </c>
      <c r="AK9" s="348">
        <f>IF(COUNT(P9:W9)=0,"",ROUND(AVERAGE(P9:W9),2))</f>
        <v/>
      </c>
      <c r="AL9" s="232">
        <f>IF(AK9="","",IF(AK9&gt;2.5,"ดี",IF(AK9&gt;1.5,"พอใช้","ปรับปรุง")))</f>
        <v/>
      </c>
      <c r="AM9" s="349">
        <f>IF(COUNT(X9:AF9)=0,"",ROUND(AVERAGE(X9:AF9),2))</f>
        <v/>
      </c>
      <c r="AN9" s="232">
        <f>IF(AM9="","",IF(AM9&gt;2.5,"ดี",IF(AM9&gt;1.5,"พอใช้","ปรับปรุง")))</f>
        <v/>
      </c>
      <c r="AO9" s="350">
        <f>IF(COUNT(D9:AF9)=0,"",ROUND(AVERAGE(D9:AF9),2))</f>
        <v/>
      </c>
      <c r="AP9" s="232">
        <f>IF(AO9="","",IF(AO9&gt;2.5,"ดี",IF(AO9&gt;1.5,"พอใช้","ปรับปรุง")))</f>
        <v/>
      </c>
      <c r="AQ9" s="351" t="n"/>
    </row>
    <row r="10" ht="16" customHeight="1">
      <c r="A10" s="226" t="n">
        <v>2</v>
      </c>
      <c r="B10" s="227">
        <f>'ข้อมูลนักเรียน'!T10</f>
        <v/>
      </c>
      <c r="C10" s="340">
        <f>IF(B10="","",'ข้อมูลนักเรียน'!K10)</f>
        <v/>
      </c>
      <c r="D10" s="341" t="n"/>
      <c r="E10" s="342" t="n"/>
      <c r="F10" s="342" t="n"/>
      <c r="G10" s="342" t="n"/>
      <c r="H10" s="342" t="n"/>
      <c r="I10" s="343" t="n"/>
      <c r="J10" s="342" t="n"/>
      <c r="K10" s="342" t="n"/>
      <c r="L10" s="342" t="n"/>
      <c r="M10" s="342" t="n"/>
      <c r="N10" s="342" t="n"/>
      <c r="O10" s="342" t="n"/>
      <c r="P10" s="344" t="n"/>
      <c r="Q10" s="342" t="n"/>
      <c r="R10" s="342" t="n"/>
      <c r="S10" s="342" t="n"/>
      <c r="T10" s="342" t="n"/>
      <c r="U10" s="342" t="n"/>
      <c r="V10" s="342" t="n"/>
      <c r="W10" s="342" t="n"/>
      <c r="X10" s="345" t="n"/>
      <c r="Y10" s="342" t="n"/>
      <c r="Z10" s="342" t="n"/>
      <c r="AA10" s="342" t="n"/>
      <c r="AB10" s="342" t="n"/>
      <c r="AC10" s="342" t="n"/>
      <c r="AD10" s="342" t="n"/>
      <c r="AE10" s="342" t="n"/>
      <c r="AF10" s="342" t="n"/>
      <c r="AG10" s="346">
        <f>IF(COUNT(D10:H10)=0,"",ROUND(AVERAGE(D10:H10),2))</f>
        <v/>
      </c>
      <c r="AH10" s="232">
        <f>IF(AG10="","",IF(AG10&gt;2.5,"ดี",IF(AG10&gt;1.5,"พอใช้","ปรับปรุง")))</f>
        <v/>
      </c>
      <c r="AI10" s="347">
        <f>IF(COUNT(I10:O10)=0,"",ROUND(AVERAGE(I10:O10),2))</f>
        <v/>
      </c>
      <c r="AJ10" s="232">
        <f>IF(AI10="","",IF(AI10&gt;2.5,"ดี",IF(AI10&gt;1.5,"พอใช้","ปรับปรุง")))</f>
        <v/>
      </c>
      <c r="AK10" s="348">
        <f>IF(COUNT(P10:W10)=0,"",ROUND(AVERAGE(P10:W10),2))</f>
        <v/>
      </c>
      <c r="AL10" s="232">
        <f>IF(AK10="","",IF(AK10&gt;2.5,"ดี",IF(AK10&gt;1.5,"พอใช้","ปรับปรุง")))</f>
        <v/>
      </c>
      <c r="AM10" s="349">
        <f>IF(COUNT(X10:AF10)=0,"",ROUND(AVERAGE(X10:AF10),2))</f>
        <v/>
      </c>
      <c r="AN10" s="232">
        <f>IF(AM10="","",IF(AM10&gt;2.5,"ดี",IF(AM10&gt;1.5,"พอใช้","ปรับปรุง")))</f>
        <v/>
      </c>
      <c r="AO10" s="350">
        <f>IF(COUNT(D10:AF10)=0,"",ROUND(AVERAGE(D10:AF10),2))</f>
        <v/>
      </c>
      <c r="AP10" s="232">
        <f>IF(AO10="","",IF(AO10&gt;2.5,"ดี",IF(AO10&gt;1.5,"พอใช้","ปรับปรุง")))</f>
        <v/>
      </c>
      <c r="AQ10" s="351" t="n"/>
    </row>
    <row r="11" ht="16" customHeight="1">
      <c r="A11" s="218" t="n">
        <v>3</v>
      </c>
      <c r="B11" s="219">
        <f>'ข้อมูลนักเรียน'!T11</f>
        <v/>
      </c>
      <c r="C11" s="340">
        <f>IF(B11="","",'ข้อมูลนักเรียน'!K11)</f>
        <v/>
      </c>
      <c r="D11" s="341" t="n"/>
      <c r="E11" s="342" t="n"/>
      <c r="F11" s="342" t="n"/>
      <c r="G11" s="342" t="n"/>
      <c r="H11" s="342" t="n"/>
      <c r="I11" s="343" t="n"/>
      <c r="J11" s="342" t="n"/>
      <c r="K11" s="342" t="n"/>
      <c r="L11" s="342" t="n"/>
      <c r="M11" s="342" t="n"/>
      <c r="N11" s="342" t="n"/>
      <c r="O11" s="342" t="n"/>
      <c r="P11" s="344" t="n"/>
      <c r="Q11" s="342" t="n"/>
      <c r="R11" s="342" t="n"/>
      <c r="S11" s="342" t="n"/>
      <c r="T11" s="342" t="n"/>
      <c r="U11" s="342" t="n"/>
      <c r="V11" s="342" t="n"/>
      <c r="W11" s="342" t="n"/>
      <c r="X11" s="345" t="n"/>
      <c r="Y11" s="342" t="n"/>
      <c r="Z11" s="342" t="n"/>
      <c r="AA11" s="342" t="n"/>
      <c r="AB11" s="342" t="n"/>
      <c r="AC11" s="342" t="n"/>
      <c r="AD11" s="342" t="n"/>
      <c r="AE11" s="342" t="n"/>
      <c r="AF11" s="342" t="n"/>
      <c r="AG11" s="346">
        <f>IF(COUNT(D11:H11)=0,"",ROUND(AVERAGE(D11:H11),2))</f>
        <v/>
      </c>
      <c r="AH11" s="232">
        <f>IF(AG11="","",IF(AG11&gt;2.5,"ดี",IF(AG11&gt;1.5,"พอใช้","ปรับปรุง")))</f>
        <v/>
      </c>
      <c r="AI11" s="347">
        <f>IF(COUNT(I11:O11)=0,"",ROUND(AVERAGE(I11:O11),2))</f>
        <v/>
      </c>
      <c r="AJ11" s="232">
        <f>IF(AI11="","",IF(AI11&gt;2.5,"ดี",IF(AI11&gt;1.5,"พอใช้","ปรับปรุง")))</f>
        <v/>
      </c>
      <c r="AK11" s="348">
        <f>IF(COUNT(P11:W11)=0,"",ROUND(AVERAGE(P11:W11),2))</f>
        <v/>
      </c>
      <c r="AL11" s="232">
        <f>IF(AK11="","",IF(AK11&gt;2.5,"ดี",IF(AK11&gt;1.5,"พอใช้","ปรับปรุง")))</f>
        <v/>
      </c>
      <c r="AM11" s="349">
        <f>IF(COUNT(X11:AF11)=0,"",ROUND(AVERAGE(X11:AF11),2))</f>
        <v/>
      </c>
      <c r="AN11" s="232">
        <f>IF(AM11="","",IF(AM11&gt;2.5,"ดี",IF(AM11&gt;1.5,"พอใช้","ปรับปรุง")))</f>
        <v/>
      </c>
      <c r="AO11" s="350">
        <f>IF(COUNT(D11:AF11)=0,"",ROUND(AVERAGE(D11:AF11),2))</f>
        <v/>
      </c>
      <c r="AP11" s="232">
        <f>IF(AO11="","",IF(AO11&gt;2.5,"ดี",IF(AO11&gt;1.5,"พอใช้","ปรับปรุง")))</f>
        <v/>
      </c>
      <c r="AQ11" s="351" t="n"/>
    </row>
    <row r="12" ht="16" customHeight="1">
      <c r="A12" s="226" t="n">
        <v>4</v>
      </c>
      <c r="B12" s="227">
        <f>'ข้อมูลนักเรียน'!T12</f>
        <v/>
      </c>
      <c r="C12" s="340">
        <f>IF(B12="","",'ข้อมูลนักเรียน'!K12)</f>
        <v/>
      </c>
      <c r="D12" s="341" t="n"/>
      <c r="E12" s="342" t="n"/>
      <c r="F12" s="342" t="n"/>
      <c r="G12" s="342" t="n"/>
      <c r="H12" s="342" t="n"/>
      <c r="I12" s="343" t="n"/>
      <c r="J12" s="342" t="n"/>
      <c r="K12" s="342" t="n"/>
      <c r="L12" s="342" t="n"/>
      <c r="M12" s="342" t="n"/>
      <c r="N12" s="342" t="n"/>
      <c r="O12" s="342" t="n"/>
      <c r="P12" s="344" t="n"/>
      <c r="Q12" s="342" t="n"/>
      <c r="R12" s="342" t="n"/>
      <c r="S12" s="342" t="n"/>
      <c r="T12" s="342" t="n"/>
      <c r="U12" s="342" t="n"/>
      <c r="V12" s="342" t="n"/>
      <c r="W12" s="342" t="n"/>
      <c r="X12" s="345" t="n"/>
      <c r="Y12" s="342" t="n"/>
      <c r="Z12" s="342" t="n"/>
      <c r="AA12" s="342" t="n"/>
      <c r="AB12" s="342" t="n"/>
      <c r="AC12" s="342" t="n"/>
      <c r="AD12" s="342" t="n"/>
      <c r="AE12" s="342" t="n"/>
      <c r="AF12" s="342" t="n"/>
      <c r="AG12" s="346">
        <f>IF(COUNT(D12:H12)=0,"",ROUND(AVERAGE(D12:H12),2))</f>
        <v/>
      </c>
      <c r="AH12" s="232">
        <f>IF(AG12="","",IF(AG12&gt;2.5,"ดี",IF(AG12&gt;1.5,"พอใช้","ปรับปรุง")))</f>
        <v/>
      </c>
      <c r="AI12" s="347">
        <f>IF(COUNT(I12:O12)=0,"",ROUND(AVERAGE(I12:O12),2))</f>
        <v/>
      </c>
      <c r="AJ12" s="232">
        <f>IF(AI12="","",IF(AI12&gt;2.5,"ดี",IF(AI12&gt;1.5,"พอใช้","ปรับปรุง")))</f>
        <v/>
      </c>
      <c r="AK12" s="348">
        <f>IF(COUNT(P12:W12)=0,"",ROUND(AVERAGE(P12:W12),2))</f>
        <v/>
      </c>
      <c r="AL12" s="232">
        <f>IF(AK12="","",IF(AK12&gt;2.5,"ดี",IF(AK12&gt;1.5,"พอใช้","ปรับปรุง")))</f>
        <v/>
      </c>
      <c r="AM12" s="349">
        <f>IF(COUNT(X12:AF12)=0,"",ROUND(AVERAGE(X12:AF12),2))</f>
        <v/>
      </c>
      <c r="AN12" s="232">
        <f>IF(AM12="","",IF(AM12&gt;2.5,"ดี",IF(AM12&gt;1.5,"พอใช้","ปรับปรุง")))</f>
        <v/>
      </c>
      <c r="AO12" s="350">
        <f>IF(COUNT(D12:AF12)=0,"",ROUND(AVERAGE(D12:AF12),2))</f>
        <v/>
      </c>
      <c r="AP12" s="232">
        <f>IF(AO12="","",IF(AO12&gt;2.5,"ดี",IF(AO12&gt;1.5,"พอใช้","ปรับปรุง")))</f>
        <v/>
      </c>
      <c r="AQ12" s="351" t="n"/>
    </row>
    <row r="13" ht="16" customHeight="1">
      <c r="A13" s="218" t="n">
        <v>5</v>
      </c>
      <c r="B13" s="219">
        <f>'ข้อมูลนักเรียน'!T13</f>
        <v/>
      </c>
      <c r="C13" s="340">
        <f>IF(B13="","",'ข้อมูลนักเรียน'!K13)</f>
        <v/>
      </c>
      <c r="D13" s="341" t="n"/>
      <c r="E13" s="342" t="n"/>
      <c r="F13" s="342" t="n"/>
      <c r="G13" s="342" t="n"/>
      <c r="H13" s="342" t="n"/>
      <c r="I13" s="343" t="n"/>
      <c r="J13" s="342" t="n"/>
      <c r="K13" s="342" t="n"/>
      <c r="L13" s="342" t="n"/>
      <c r="M13" s="342" t="n"/>
      <c r="N13" s="342" t="n"/>
      <c r="O13" s="342" t="n"/>
      <c r="P13" s="344" t="n"/>
      <c r="Q13" s="342" t="n"/>
      <c r="R13" s="342" t="n"/>
      <c r="S13" s="342" t="n"/>
      <c r="T13" s="342" t="n"/>
      <c r="U13" s="342" t="n"/>
      <c r="V13" s="342" t="n"/>
      <c r="W13" s="342" t="n"/>
      <c r="X13" s="345" t="n"/>
      <c r="Y13" s="342" t="n"/>
      <c r="Z13" s="342" t="n"/>
      <c r="AA13" s="342" t="n"/>
      <c r="AB13" s="342" t="n"/>
      <c r="AC13" s="342" t="n"/>
      <c r="AD13" s="342" t="n"/>
      <c r="AE13" s="342" t="n"/>
      <c r="AF13" s="342" t="n"/>
      <c r="AG13" s="346">
        <f>IF(COUNT(D13:H13)=0,"",ROUND(AVERAGE(D13:H13),2))</f>
        <v/>
      </c>
      <c r="AH13" s="232">
        <f>IF(AG13="","",IF(AG13&gt;2.5,"ดี",IF(AG13&gt;1.5,"พอใช้","ปรับปรุง")))</f>
        <v/>
      </c>
      <c r="AI13" s="347">
        <f>IF(COUNT(I13:O13)=0,"",ROUND(AVERAGE(I13:O13),2))</f>
        <v/>
      </c>
      <c r="AJ13" s="232">
        <f>IF(AI13="","",IF(AI13&gt;2.5,"ดี",IF(AI13&gt;1.5,"พอใช้","ปรับปรุง")))</f>
        <v/>
      </c>
      <c r="AK13" s="348">
        <f>IF(COUNT(P13:W13)=0,"",ROUND(AVERAGE(P13:W13),2))</f>
        <v/>
      </c>
      <c r="AL13" s="232">
        <f>IF(AK13="","",IF(AK13&gt;2.5,"ดี",IF(AK13&gt;1.5,"พอใช้","ปรับปรุง")))</f>
        <v/>
      </c>
      <c r="AM13" s="349">
        <f>IF(COUNT(X13:AF13)=0,"",ROUND(AVERAGE(X13:AF13),2))</f>
        <v/>
      </c>
      <c r="AN13" s="232">
        <f>IF(AM13="","",IF(AM13&gt;2.5,"ดี",IF(AM13&gt;1.5,"พอใช้","ปรับปรุง")))</f>
        <v/>
      </c>
      <c r="AO13" s="350">
        <f>IF(COUNT(D13:AF13)=0,"",ROUND(AVERAGE(D13:AF13),2))</f>
        <v/>
      </c>
      <c r="AP13" s="232">
        <f>IF(AO13="","",IF(AO13&gt;2.5,"ดี",IF(AO13&gt;1.5,"พอใช้","ปรับปรุง")))</f>
        <v/>
      </c>
      <c r="AQ13" s="351" t="n"/>
    </row>
    <row r="14">
      <c r="A14" s="352" t="inlineStr">
        <is>
          <t>ค่าเฉลี่ย</t>
        </is>
      </c>
      <c r="D14" s="353">
        <f>IFERROR(ROUND(AVERAGE(D9:D13),2),"")</f>
        <v/>
      </c>
      <c r="E14" s="354">
        <f>IFERROR(ROUND(AVERAGE(E9:E13),2),"")</f>
        <v/>
      </c>
      <c r="F14" s="354">
        <f>IFERROR(ROUND(AVERAGE(F9:F13),2),"")</f>
        <v/>
      </c>
      <c r="G14" s="354">
        <f>IFERROR(ROUND(AVERAGE(G9:G13),2),"")</f>
        <v/>
      </c>
      <c r="H14" s="354">
        <f>IFERROR(ROUND(AVERAGE(H9:H13),2),"")</f>
        <v/>
      </c>
      <c r="I14" s="355">
        <f>IFERROR(ROUND(AVERAGE(I9:I13),2),"")</f>
        <v/>
      </c>
      <c r="J14" s="356">
        <f>IFERROR(ROUND(AVERAGE(J9:J13),2),"")</f>
        <v/>
      </c>
      <c r="K14" s="356">
        <f>IFERROR(ROUND(AVERAGE(K9:K13),2),"")</f>
        <v/>
      </c>
      <c r="L14" s="356">
        <f>IFERROR(ROUND(AVERAGE(L9:L13),2),"")</f>
        <v/>
      </c>
      <c r="M14" s="356">
        <f>IFERROR(ROUND(AVERAGE(M9:M13),2),"")</f>
        <v/>
      </c>
      <c r="N14" s="356">
        <f>IFERROR(ROUND(AVERAGE(N9:N13),2),"")</f>
        <v/>
      </c>
      <c r="O14" s="356">
        <f>IFERROR(ROUND(AVERAGE(O9:O13),2),"")</f>
        <v/>
      </c>
      <c r="P14" s="357">
        <f>IFERROR(ROUND(AVERAGE(P9:P13),2),"")</f>
        <v/>
      </c>
      <c r="Q14" s="358">
        <f>IFERROR(ROUND(AVERAGE(Q9:Q13),2),"")</f>
        <v/>
      </c>
      <c r="R14" s="358">
        <f>IFERROR(ROUND(AVERAGE(R9:R13),2),"")</f>
        <v/>
      </c>
      <c r="S14" s="358">
        <f>IFERROR(ROUND(AVERAGE(S9:S13),2),"")</f>
        <v/>
      </c>
      <c r="T14" s="358">
        <f>IFERROR(ROUND(AVERAGE(T9:T13),2),"")</f>
        <v/>
      </c>
      <c r="U14" s="358">
        <f>IFERROR(ROUND(AVERAGE(U9:U13),2),"")</f>
        <v/>
      </c>
      <c r="V14" s="358">
        <f>IFERROR(ROUND(AVERAGE(V9:V13),2),"")</f>
        <v/>
      </c>
      <c r="W14" s="358">
        <f>IFERROR(ROUND(AVERAGE(W9:W13),2),"")</f>
        <v/>
      </c>
      <c r="X14" s="359">
        <f>IFERROR(ROUND(AVERAGE(X9:X13),2),"")</f>
        <v/>
      </c>
      <c r="Y14" s="360">
        <f>IFERROR(ROUND(AVERAGE(Y9:Y13),2),"")</f>
        <v/>
      </c>
      <c r="Z14" s="360">
        <f>IFERROR(ROUND(AVERAGE(Z9:Z13),2),"")</f>
        <v/>
      </c>
      <c r="AA14" s="360">
        <f>IFERROR(ROUND(AVERAGE(AA9:AA13),2),"")</f>
        <v/>
      </c>
      <c r="AB14" s="360">
        <f>IFERROR(ROUND(AVERAGE(AB9:AB13),2),"")</f>
        <v/>
      </c>
      <c r="AC14" s="360">
        <f>IFERROR(ROUND(AVERAGE(AC9:AC13),2),"")</f>
        <v/>
      </c>
      <c r="AD14" s="360">
        <f>IFERROR(ROUND(AVERAGE(AD9:AD13),2),"")</f>
        <v/>
      </c>
      <c r="AE14" s="360">
        <f>IFERROR(ROUND(AVERAGE(AE9:AE13),2),"")</f>
        <v/>
      </c>
      <c r="AF14" s="360">
        <f>IFERROR(ROUND(AVERAGE(AF9:AF13),2),"")</f>
        <v/>
      </c>
      <c r="AG14" s="361">
        <f>IFERROR(ROUND(AVERAGE(AG9:AG13),2),"")</f>
        <v/>
      </c>
      <c r="AI14" s="362">
        <f>IFERROR(ROUND(AVERAGE(AI9:AI13),2),"")</f>
        <v/>
      </c>
      <c r="AK14" s="363">
        <f>IFERROR(ROUND(AVERAGE(AK9:AK13),2),"")</f>
        <v/>
      </c>
      <c r="AM14" s="364">
        <f>IFERROR(ROUND(AVERAGE(AM9:AM13),2),"")</f>
        <v/>
      </c>
      <c r="AO14" s="365">
        <f>IFERROR(ROUND(AVERAGE(AO9:AO13),2),"")</f>
        <v/>
      </c>
    </row>
    <row r="15">
      <c r="A15" s="352" t="inlineStr">
        <is>
          <t>ระดับ 3 / ดี (คน)</t>
        </is>
      </c>
      <c r="D15" s="366">
        <f>COUNTIF(D9:D13,3)</f>
        <v/>
      </c>
      <c r="E15" s="367">
        <f>COUNTIF(E9:E13,3)</f>
        <v/>
      </c>
      <c r="F15" s="367">
        <f>COUNTIF(F9:F13,3)</f>
        <v/>
      </c>
      <c r="G15" s="367">
        <f>COUNTIF(G9:G13,3)</f>
        <v/>
      </c>
      <c r="H15" s="367">
        <f>COUNTIF(H9:H13,3)</f>
        <v/>
      </c>
      <c r="I15" s="368">
        <f>COUNTIF(I9:I13,3)</f>
        <v/>
      </c>
      <c r="J15" s="369">
        <f>COUNTIF(J9:J13,3)</f>
        <v/>
      </c>
      <c r="K15" s="369">
        <f>COUNTIF(K9:K13,3)</f>
        <v/>
      </c>
      <c r="L15" s="369">
        <f>COUNTIF(L9:L13,3)</f>
        <v/>
      </c>
      <c r="M15" s="369">
        <f>COUNTIF(M9:M13,3)</f>
        <v/>
      </c>
      <c r="N15" s="369">
        <f>COUNTIF(N9:N13,3)</f>
        <v/>
      </c>
      <c r="O15" s="369">
        <f>COUNTIF(O9:O13,3)</f>
        <v/>
      </c>
      <c r="P15" s="370">
        <f>COUNTIF(P9:P13,3)</f>
        <v/>
      </c>
      <c r="Q15" s="371">
        <f>COUNTIF(Q9:Q13,3)</f>
        <v/>
      </c>
      <c r="R15" s="371">
        <f>COUNTIF(R9:R13,3)</f>
        <v/>
      </c>
      <c r="S15" s="371">
        <f>COUNTIF(S9:S13,3)</f>
        <v/>
      </c>
      <c r="T15" s="371">
        <f>COUNTIF(T9:T13,3)</f>
        <v/>
      </c>
      <c r="U15" s="371">
        <f>COUNTIF(U9:U13,3)</f>
        <v/>
      </c>
      <c r="V15" s="371">
        <f>COUNTIF(V9:V13,3)</f>
        <v/>
      </c>
      <c r="W15" s="371">
        <f>COUNTIF(W9:W13,3)</f>
        <v/>
      </c>
      <c r="X15" s="372">
        <f>COUNTIF(X9:X13,3)</f>
        <v/>
      </c>
      <c r="Y15" s="373">
        <f>COUNTIF(Y9:Y13,3)</f>
        <v/>
      </c>
      <c r="Z15" s="373">
        <f>COUNTIF(Z9:Z13,3)</f>
        <v/>
      </c>
      <c r="AA15" s="373">
        <f>COUNTIF(AA9:AA13,3)</f>
        <v/>
      </c>
      <c r="AB15" s="373">
        <f>COUNTIF(AB9:AB13,3)</f>
        <v/>
      </c>
      <c r="AC15" s="373">
        <f>COUNTIF(AC9:AC13,3)</f>
        <v/>
      </c>
      <c r="AD15" s="373">
        <f>COUNTIF(AD9:AD13,3)</f>
        <v/>
      </c>
      <c r="AE15" s="373">
        <f>COUNTIF(AE9:AE13,3)</f>
        <v/>
      </c>
      <c r="AF15" s="373">
        <f>COUNTIF(AF9:AF13,3)</f>
        <v/>
      </c>
      <c r="AH15" s="367">
        <f>COUNTIF(AH9:AH13,"ดี")</f>
        <v/>
      </c>
      <c r="AJ15" s="369">
        <f>COUNTIF(AJ9:AJ13,"ดี")</f>
        <v/>
      </c>
      <c r="AL15" s="371">
        <f>COUNTIF(AL9:AL13,"ดี")</f>
        <v/>
      </c>
      <c r="AN15" s="373">
        <f>COUNTIF(AN9:AN13,"ดี")</f>
        <v/>
      </c>
      <c r="AP15" s="374">
        <f>COUNTIF(AP9:AP13,"ดี")</f>
        <v/>
      </c>
    </row>
    <row r="16">
      <c r="A16" s="352" t="inlineStr">
        <is>
          <t>ระดับ 2 / พอใช้ (คน)</t>
        </is>
      </c>
      <c r="D16" s="366">
        <f>COUNTIF(D9:D13,2)</f>
        <v/>
      </c>
      <c r="E16" s="367">
        <f>COUNTIF(E9:E13,2)</f>
        <v/>
      </c>
      <c r="F16" s="367">
        <f>COUNTIF(F9:F13,2)</f>
        <v/>
      </c>
      <c r="G16" s="367">
        <f>COUNTIF(G9:G13,2)</f>
        <v/>
      </c>
      <c r="H16" s="367">
        <f>COUNTIF(H9:H13,2)</f>
        <v/>
      </c>
      <c r="I16" s="368">
        <f>COUNTIF(I9:I13,2)</f>
        <v/>
      </c>
      <c r="J16" s="369">
        <f>COUNTIF(J9:J13,2)</f>
        <v/>
      </c>
      <c r="K16" s="369">
        <f>COUNTIF(K9:K13,2)</f>
        <v/>
      </c>
      <c r="L16" s="369">
        <f>COUNTIF(L9:L13,2)</f>
        <v/>
      </c>
      <c r="M16" s="369">
        <f>COUNTIF(M9:M13,2)</f>
        <v/>
      </c>
      <c r="N16" s="369">
        <f>COUNTIF(N9:N13,2)</f>
        <v/>
      </c>
      <c r="O16" s="369">
        <f>COUNTIF(O9:O13,2)</f>
        <v/>
      </c>
      <c r="P16" s="370">
        <f>COUNTIF(P9:P13,2)</f>
        <v/>
      </c>
      <c r="Q16" s="371">
        <f>COUNTIF(Q9:Q13,2)</f>
        <v/>
      </c>
      <c r="R16" s="371">
        <f>COUNTIF(R9:R13,2)</f>
        <v/>
      </c>
      <c r="S16" s="371">
        <f>COUNTIF(S9:S13,2)</f>
        <v/>
      </c>
      <c r="T16" s="371">
        <f>COUNTIF(T9:T13,2)</f>
        <v/>
      </c>
      <c r="U16" s="371">
        <f>COUNTIF(U9:U13,2)</f>
        <v/>
      </c>
      <c r="V16" s="371">
        <f>COUNTIF(V9:V13,2)</f>
        <v/>
      </c>
      <c r="W16" s="371">
        <f>COUNTIF(W9:W13,2)</f>
        <v/>
      </c>
      <c r="X16" s="372">
        <f>COUNTIF(X9:X13,2)</f>
        <v/>
      </c>
      <c r="Y16" s="373">
        <f>COUNTIF(Y9:Y13,2)</f>
        <v/>
      </c>
      <c r="Z16" s="373">
        <f>COUNTIF(Z9:Z13,2)</f>
        <v/>
      </c>
      <c r="AA16" s="373">
        <f>COUNTIF(AA9:AA13,2)</f>
        <v/>
      </c>
      <c r="AB16" s="373">
        <f>COUNTIF(AB9:AB13,2)</f>
        <v/>
      </c>
      <c r="AC16" s="373">
        <f>COUNTIF(AC9:AC13,2)</f>
        <v/>
      </c>
      <c r="AD16" s="373">
        <f>COUNTIF(AD9:AD13,2)</f>
        <v/>
      </c>
      <c r="AE16" s="373">
        <f>COUNTIF(AE9:AE13,2)</f>
        <v/>
      </c>
      <c r="AF16" s="373">
        <f>COUNTIF(AF9:AF13,2)</f>
        <v/>
      </c>
      <c r="AH16" s="367">
        <f>COUNTIF(AH9:AH13,"พอใช้")</f>
        <v/>
      </c>
      <c r="AJ16" s="369">
        <f>COUNTIF(AJ9:AJ13,"พอใช้")</f>
        <v/>
      </c>
      <c r="AL16" s="371">
        <f>COUNTIF(AL9:AL13,"พอใช้")</f>
        <v/>
      </c>
      <c r="AN16" s="373">
        <f>COUNTIF(AN9:AN13,"พอใช้")</f>
        <v/>
      </c>
      <c r="AP16" s="374">
        <f>COUNTIF(AP9:AP13,"พอใช้")</f>
        <v/>
      </c>
    </row>
    <row r="17">
      <c r="A17" s="352" t="inlineStr">
        <is>
          <t>ระดับ 1 / ปรับปรุง (คน)</t>
        </is>
      </c>
      <c r="D17" s="366">
        <f>COUNTIF(D9:D13,1)</f>
        <v/>
      </c>
      <c r="E17" s="367">
        <f>COUNTIF(E9:E13,1)</f>
        <v/>
      </c>
      <c r="F17" s="367">
        <f>COUNTIF(F9:F13,1)</f>
        <v/>
      </c>
      <c r="G17" s="367">
        <f>COUNTIF(G9:G13,1)</f>
        <v/>
      </c>
      <c r="H17" s="367">
        <f>COUNTIF(H9:H13,1)</f>
        <v/>
      </c>
      <c r="I17" s="368">
        <f>COUNTIF(I9:I13,1)</f>
        <v/>
      </c>
      <c r="J17" s="369">
        <f>COUNTIF(J9:J13,1)</f>
        <v/>
      </c>
      <c r="K17" s="369">
        <f>COUNTIF(K9:K13,1)</f>
        <v/>
      </c>
      <c r="L17" s="369">
        <f>COUNTIF(L9:L13,1)</f>
        <v/>
      </c>
      <c r="M17" s="369">
        <f>COUNTIF(M9:M13,1)</f>
        <v/>
      </c>
      <c r="N17" s="369">
        <f>COUNTIF(N9:N13,1)</f>
        <v/>
      </c>
      <c r="O17" s="369">
        <f>COUNTIF(O9:O13,1)</f>
        <v/>
      </c>
      <c r="P17" s="370">
        <f>COUNTIF(P9:P13,1)</f>
        <v/>
      </c>
      <c r="Q17" s="371">
        <f>COUNTIF(Q9:Q13,1)</f>
        <v/>
      </c>
      <c r="R17" s="371">
        <f>COUNTIF(R9:R13,1)</f>
        <v/>
      </c>
      <c r="S17" s="371">
        <f>COUNTIF(S9:S13,1)</f>
        <v/>
      </c>
      <c r="T17" s="371">
        <f>COUNTIF(T9:T13,1)</f>
        <v/>
      </c>
      <c r="U17" s="371">
        <f>COUNTIF(U9:U13,1)</f>
        <v/>
      </c>
      <c r="V17" s="371">
        <f>COUNTIF(V9:V13,1)</f>
        <v/>
      </c>
      <c r="W17" s="371">
        <f>COUNTIF(W9:W13,1)</f>
        <v/>
      </c>
      <c r="X17" s="372">
        <f>COUNTIF(X9:X13,1)</f>
        <v/>
      </c>
      <c r="Y17" s="373">
        <f>COUNTIF(Y9:Y13,1)</f>
        <v/>
      </c>
      <c r="Z17" s="373">
        <f>COUNTIF(Z9:Z13,1)</f>
        <v/>
      </c>
      <c r="AA17" s="373">
        <f>COUNTIF(AA9:AA13,1)</f>
        <v/>
      </c>
      <c r="AB17" s="373">
        <f>COUNTIF(AB9:AB13,1)</f>
        <v/>
      </c>
      <c r="AC17" s="373">
        <f>COUNTIF(AC9:AC13,1)</f>
        <v/>
      </c>
      <c r="AD17" s="373">
        <f>COUNTIF(AD9:AD13,1)</f>
        <v/>
      </c>
      <c r="AE17" s="373">
        <f>COUNTIF(AE9:AE13,1)</f>
        <v/>
      </c>
      <c r="AF17" s="373">
        <f>COUNTIF(AF9:AF13,1)</f>
        <v/>
      </c>
      <c r="AH17" s="367">
        <f>COUNTIF(AH9:AH13,"ปรับปรุง")</f>
        <v/>
      </c>
      <c r="AJ17" s="369">
        <f>COUNTIF(AJ9:AJ13,"ปรับปรุง")</f>
        <v/>
      </c>
      <c r="AL17" s="371">
        <f>COUNTIF(AL9:AL13,"ปรับปรุง")</f>
        <v/>
      </c>
      <c r="AN17" s="373">
        <f>COUNTIF(AN9:AN13,"ปรับปรุง")</f>
        <v/>
      </c>
      <c r="AP17" s="374">
        <f>COUNTIF(AP9:AP13,"ปรับปรุง")</f>
        <v/>
      </c>
    </row>
    <row r="18"/>
    <row r="19"/>
    <row r="20">
      <c r="B20" s="375" t="inlineStr">
        <is>
          <t>สรุปผลการประเมินพัฒนาการทั้งห้อง</t>
        </is>
      </c>
    </row>
    <row r="21">
      <c r="B21" s="312" t="inlineStr">
        <is>
          <t>ด้าน</t>
        </is>
      </c>
      <c r="C21" s="376" t="inlineStr">
        <is>
          <t>ประเมิน
(คน)</t>
        </is>
      </c>
      <c r="D21" s="376" t="inlineStr">
        <is>
          <t>ดี (คน)</t>
        </is>
      </c>
      <c r="G21" s="376" t="inlineStr">
        <is>
          <t>ร้อยละ</t>
        </is>
      </c>
      <c r="J21" s="376" t="inlineStr">
        <is>
          <t>พอใช้ (คน)</t>
        </is>
      </c>
      <c r="M21" s="376" t="inlineStr">
        <is>
          <t>ร้อยละ</t>
        </is>
      </c>
      <c r="P21" s="376" t="inlineStr">
        <is>
          <t>ปรับปรุง (คน)</t>
        </is>
      </c>
      <c r="S21" s="376" t="inlineStr">
        <is>
          <t>ร้อยละ</t>
        </is>
      </c>
    </row>
    <row r="22">
      <c r="B22" s="377" t="inlineStr">
        <is>
          <t>ด้านร่างกาย</t>
        </is>
      </c>
      <c r="C22" s="191">
        <f>COUNTIF(AH9:AH13,"?*")</f>
        <v/>
      </c>
      <c r="D22" s="153">
        <f>COUNTIF(AH9:AH13,"ดี")</f>
        <v/>
      </c>
      <c r="G22" s="378">
        <f>IFERROR(D22/C22,"")</f>
        <v/>
      </c>
      <c r="J22" s="152">
        <f>COUNTIF(AH9:AH13,"พอใช้")</f>
        <v/>
      </c>
      <c r="M22" s="379">
        <f>IFERROR(J22/C22,"")</f>
        <v/>
      </c>
      <c r="P22" s="151">
        <f>COUNTIF(AH9:AH13,"ปรับปรุง")</f>
        <v/>
      </c>
      <c r="S22" s="292">
        <f>IFERROR(P22/C22,"")</f>
        <v/>
      </c>
    </row>
    <row r="23">
      <c r="B23" s="380" t="inlineStr">
        <is>
          <t>ด้านอารมณ์ จิตใจ</t>
        </is>
      </c>
      <c r="C23" s="152">
        <f>COUNTIF(AJ9:AJ13,"?*")</f>
        <v/>
      </c>
      <c r="D23" s="153">
        <f>COUNTIF(AJ9:AJ13,"ดี")</f>
        <v/>
      </c>
      <c r="G23" s="378">
        <f>IFERROR(D23/C23,"")</f>
        <v/>
      </c>
      <c r="J23" s="152">
        <f>COUNTIF(AJ9:AJ13,"พอใช้")</f>
        <v/>
      </c>
      <c r="M23" s="379">
        <f>IFERROR(J23/C23,"")</f>
        <v/>
      </c>
      <c r="P23" s="151">
        <f>COUNTIF(AJ9:AJ13,"ปรับปรุง")</f>
        <v/>
      </c>
      <c r="S23" s="292">
        <f>IFERROR(P23/C23,"")</f>
        <v/>
      </c>
    </row>
    <row r="24">
      <c r="B24" s="381" t="inlineStr">
        <is>
          <t>ด้านสังคม</t>
        </is>
      </c>
      <c r="C24" s="382">
        <f>COUNTIF(AL9:AL13,"?*")</f>
        <v/>
      </c>
      <c r="D24" s="153">
        <f>COUNTIF(AL9:AL13,"ดี")</f>
        <v/>
      </c>
      <c r="G24" s="378">
        <f>IFERROR(D24/C24,"")</f>
        <v/>
      </c>
      <c r="J24" s="152">
        <f>COUNTIF(AL9:AL13,"พอใช้")</f>
        <v/>
      </c>
      <c r="M24" s="379">
        <f>IFERROR(J24/C24,"")</f>
        <v/>
      </c>
      <c r="P24" s="151">
        <f>COUNTIF(AL9:AL13,"ปรับปรุง")</f>
        <v/>
      </c>
      <c r="S24" s="292">
        <f>IFERROR(P24/C24,"")</f>
        <v/>
      </c>
    </row>
    <row r="25">
      <c r="B25" s="383" t="inlineStr">
        <is>
          <t>ด้านสติปัญญา</t>
        </is>
      </c>
      <c r="C25" s="185">
        <f>COUNTIF(AN9:AN13,"?*")</f>
        <v/>
      </c>
      <c r="D25" s="153">
        <f>COUNTIF(AN9:AN13,"ดี")</f>
        <v/>
      </c>
      <c r="G25" s="378">
        <f>IFERROR(D25/C25,"")</f>
        <v/>
      </c>
      <c r="J25" s="152">
        <f>COUNTIF(AN9:AN13,"พอใช้")</f>
        <v/>
      </c>
      <c r="M25" s="379">
        <f>IFERROR(J25/C25,"")</f>
        <v/>
      </c>
      <c r="P25" s="151">
        <f>COUNTIF(AN9:AN13,"ปรับปรุง")</f>
        <v/>
      </c>
      <c r="S25" s="292">
        <f>IFERROR(P25/C25,"")</f>
        <v/>
      </c>
    </row>
    <row r="26">
      <c r="B26" s="384" t="inlineStr">
        <is>
          <t>ภาพรวม</t>
        </is>
      </c>
      <c r="C26" s="156">
        <f>COUNTIF(AP9:AP13,"?*")</f>
        <v/>
      </c>
      <c r="D26" s="153">
        <f>COUNTIF(AP9:AP13,"ดี")</f>
        <v/>
      </c>
      <c r="G26" s="378">
        <f>IFERROR(D26/C26,"")</f>
        <v/>
      </c>
      <c r="J26" s="152">
        <f>COUNTIF(AP9:AP13,"พอใช้")</f>
        <v/>
      </c>
      <c r="M26" s="379">
        <f>IFERROR(J26/C26,"")</f>
        <v/>
      </c>
      <c r="P26" s="151">
        <f>COUNTIF(AP9:AP13,"ปรับปรุง")</f>
        <v/>
      </c>
      <c r="S26" s="292">
        <f>IFERROR(P26/C26,"")</f>
        <v/>
      </c>
    </row>
    <row r="27"/>
    <row r="28"/>
    <row r="29">
      <c r="B29" s="246" t="inlineStr">
        <is>
          <t>ลงชื่อ ........................................................</t>
        </is>
      </c>
      <c r="X29" s="246" t="inlineStr">
        <is>
          <t>ลงชื่อ ........................................................</t>
        </is>
      </c>
    </row>
    <row r="30">
      <c r="B30" s="246">
        <f>"( "&amp;IF('ข้อมูลโรงเรียน'!$C$9="","..................................................",'ข้อมูลโรงเรียน'!$C$9)&amp;" )"</f>
        <v/>
      </c>
      <c r="X30" s="246">
        <f>"( "&amp;IF('ข้อมูลโรงเรียน'!$C$11="","..................................................",'ข้อมูลโรงเรียน'!$C$11)&amp;" )"</f>
        <v/>
      </c>
    </row>
    <row r="31">
      <c r="B31" s="277" t="inlineStr">
        <is>
          <t>ครูประจำชั้น</t>
        </is>
      </c>
      <c r="X3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75">
    <mergeCell ref="AO5:AP6"/>
    <mergeCell ref="I5:O5"/>
    <mergeCell ref="P21:R21"/>
    <mergeCell ref="C5:C8"/>
    <mergeCell ref="AK5:AL6"/>
    <mergeCell ref="I6:J6"/>
    <mergeCell ref="J24:L24"/>
    <mergeCell ref="S23:U23"/>
    <mergeCell ref="M22:O22"/>
    <mergeCell ref="L6:O6"/>
    <mergeCell ref="AJ7:AJ8"/>
    <mergeCell ref="P23:R23"/>
    <mergeCell ref="M25:O25"/>
    <mergeCell ref="AL7:AL8"/>
    <mergeCell ref="J26:L26"/>
    <mergeCell ref="M21:O21"/>
    <mergeCell ref="K6"/>
    <mergeCell ref="D21:F21"/>
    <mergeCell ref="G24:I24"/>
    <mergeCell ref="J25:L25"/>
    <mergeCell ref="X5:AF5"/>
    <mergeCell ref="J22:L22"/>
    <mergeCell ref="A14:C14"/>
    <mergeCell ref="S24:U24"/>
    <mergeCell ref="A17:C17"/>
    <mergeCell ref="AI7:AI8"/>
    <mergeCell ref="G6:H6"/>
    <mergeCell ref="G26:I26"/>
    <mergeCell ref="M26:O26"/>
    <mergeCell ref="AG7:AG8"/>
    <mergeCell ref="AG5:AH6"/>
    <mergeCell ref="AM7:AM8"/>
    <mergeCell ref="J21:L21"/>
    <mergeCell ref="AI5:AJ6"/>
    <mergeCell ref="M24:O24"/>
    <mergeCell ref="D24:F24"/>
    <mergeCell ref="D25:F25"/>
    <mergeCell ref="G25:I25"/>
    <mergeCell ref="AQ5:AQ8"/>
    <mergeCell ref="M23:O23"/>
    <mergeCell ref="X6:Y6"/>
    <mergeCell ref="D23:F23"/>
    <mergeCell ref="G22:I22"/>
    <mergeCell ref="P24:R24"/>
    <mergeCell ref="S6:T6"/>
    <mergeCell ref="J23:L23"/>
    <mergeCell ref="S22:U22"/>
    <mergeCell ref="D26:F26"/>
    <mergeCell ref="S26:U26"/>
    <mergeCell ref="AN7:AN8"/>
    <mergeCell ref="A5:A8"/>
    <mergeCell ref="Z6:AB6"/>
    <mergeCell ref="AP7:AP8"/>
    <mergeCell ref="A15:C15"/>
    <mergeCell ref="G21:I21"/>
    <mergeCell ref="AH7:AH8"/>
    <mergeCell ref="S25:U25"/>
    <mergeCell ref="P26:R26"/>
    <mergeCell ref="U6:W6"/>
    <mergeCell ref="B5:B8"/>
    <mergeCell ref="S21:U21"/>
    <mergeCell ref="P25:R25"/>
    <mergeCell ref="AC6:AD6"/>
    <mergeCell ref="AE6:AF6"/>
    <mergeCell ref="D22:F22"/>
    <mergeCell ref="G23:I23"/>
    <mergeCell ref="P22:R22"/>
    <mergeCell ref="D5:H5"/>
    <mergeCell ref="AK7:AK8"/>
    <mergeCell ref="P5:W5"/>
    <mergeCell ref="AO7:AO8"/>
    <mergeCell ref="D6:F6"/>
    <mergeCell ref="P6:R6"/>
    <mergeCell ref="A16:C16"/>
    <mergeCell ref="AM5:AN6"/>
  </mergeCells>
  <conditionalFormatting sqref="A9:LH13">
    <cfRule type="expression" priority="1" dxfId="0" stopIfTrue="1">
      <formula>$B9=""</formula>
    </cfRule>
  </conditionalFormatting>
  <conditionalFormatting sqref="D9:AF13">
    <cfRule type="expression" priority="2" dxfId="2">
      <formula>D9=3</formula>
    </cfRule>
    <cfRule type="expression" priority="3" dxfId="11">
      <formula>D9=2</formula>
    </cfRule>
    <cfRule type="expression" priority="4" dxfId="1">
      <formula>D9=1</formula>
    </cfRule>
  </conditionalFormatting>
  <conditionalFormatting sqref="AG9:AP13">
    <cfRule type="expression" priority="5" dxfId="2">
      <formula>AG9="ดี"</formula>
    </cfRule>
    <cfRule type="expression" priority="6" dxfId="11">
      <formula>AG9="พอใช้"</formula>
    </cfRule>
    <cfRule type="expression" priority="7" dxfId="1">
      <formula>AG9="ปรับปรุง"</formula>
    </cfRule>
  </conditionalFormatting>
  <dataValidations count="1">
    <dataValidation sqref="D9:AF13" showDropDown="0" showInputMessage="0" showErrorMessage="0" allowBlank="1" errorTitle="ตรวจสอบข้อมูล" error="ให้คะแนน 1, 2 หรือ 3" type="whole" operator="between">
      <formula1>1</formula1>
      <formula2>3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A98EF9"/>
    <outlinePr summaryBelow="1" summaryRight="1"/>
    <pageSetUpPr fitToPage="1"/>
  </sheetPr>
  <dimension ref="A1:CX92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9" customWidth="1" min="3" max="3"/>
    <col width="5.6" customWidth="1" min="4" max="4"/>
    <col width="5.6" customWidth="1" min="5" max="5"/>
    <col width="5" customWidth="1" min="6" max="6"/>
    <col width="10.5" customWidth="1" min="7" max="7"/>
    <col width="10.5" customWidth="1" min="8" max="8"/>
    <col hidden="1" width="13" customWidth="1" min="9" max="9"/>
    <col hidden="1" width="13" customWidth="1" min="10" max="10"/>
    <col hidden="1" width="13" customWidth="1" min="11" max="11"/>
    <col width="5.6" customWidth="1" min="12" max="12"/>
    <col width="5.6" customWidth="1" min="13" max="13"/>
    <col width="5" customWidth="1" min="14" max="14"/>
    <col width="10.5" customWidth="1" min="15" max="15"/>
    <col width="10.5" customWidth="1" min="16" max="16"/>
    <col hidden="1" width="13" customWidth="1" min="17" max="17"/>
    <col hidden="1" width="13" customWidth="1" min="18" max="18"/>
    <col hidden="1" width="13" customWidth="1" min="19" max="19"/>
    <col width="5.6" customWidth="1" min="20" max="20"/>
    <col width="5.6" customWidth="1" min="21" max="21"/>
    <col width="5" customWidth="1" min="22" max="22"/>
    <col width="10.5" customWidth="1" min="23" max="23"/>
    <col width="10.5" customWidth="1" min="24" max="24"/>
    <col hidden="1" width="13" customWidth="1" min="25" max="25"/>
    <col hidden="1" width="13" customWidth="1" min="26" max="26"/>
    <col hidden="1" width="13" customWidth="1" min="27" max="27"/>
    <col width="5.6" customWidth="1" min="28" max="28"/>
    <col width="5.6" customWidth="1" min="29" max="29"/>
    <col width="5" customWidth="1" min="30" max="30"/>
    <col width="10.5" customWidth="1" min="31" max="31"/>
    <col width="10.5" customWidth="1" min="32" max="32"/>
    <col hidden="1" width="13" customWidth="1" min="33" max="33"/>
    <col hidden="1" width="13" customWidth="1" min="34" max="34"/>
    <col hidden="1" width="13" customWidth="1" min="35" max="35"/>
    <col width="5.6" customWidth="1" min="36" max="36"/>
    <col width="5.6" customWidth="1" min="37" max="37"/>
    <col width="5" customWidth="1" min="38" max="38"/>
    <col width="10.5" customWidth="1" min="39" max="39"/>
    <col width="10.5" customWidth="1" min="40" max="40"/>
    <col hidden="1" width="13" customWidth="1" min="41" max="41"/>
    <col hidden="1" width="13" customWidth="1" min="42" max="42"/>
    <col hidden="1" width="13" customWidth="1" min="43" max="43"/>
    <col width="5.6" customWidth="1" min="44" max="44"/>
    <col width="5.6" customWidth="1" min="45" max="45"/>
    <col width="5" customWidth="1" min="46" max="46"/>
    <col width="10.5" customWidth="1" min="47" max="47"/>
    <col width="10.5" customWidth="1" min="48" max="48"/>
    <col hidden="1" width="13" customWidth="1" min="49" max="49"/>
    <col hidden="1" width="13" customWidth="1" min="50" max="50"/>
    <col hidden="1" width="13" customWidth="1" min="51" max="51"/>
    <col width="5.6" customWidth="1" min="52" max="52"/>
    <col width="5.6" customWidth="1" min="53" max="53"/>
    <col width="5" customWidth="1" min="54" max="54"/>
    <col width="10.5" customWidth="1" min="55" max="55"/>
    <col width="10.5" customWidth="1" min="56" max="56"/>
    <col hidden="1" width="13" customWidth="1" min="57" max="57"/>
    <col hidden="1" width="13" customWidth="1" min="58" max="58"/>
    <col hidden="1" width="13" customWidth="1" min="59" max="59"/>
    <col width="5.6" customWidth="1" min="60" max="60"/>
    <col width="5.6" customWidth="1" min="61" max="61"/>
    <col width="5" customWidth="1" min="62" max="62"/>
    <col width="10.5" customWidth="1" min="63" max="63"/>
    <col width="10.5" customWidth="1" min="64" max="64"/>
    <col hidden="1" width="13" customWidth="1" min="65" max="65"/>
    <col hidden="1" width="13" customWidth="1" min="66" max="66"/>
    <col hidden="1" width="13" customWidth="1" min="67" max="67"/>
    <col width="5.6" customWidth="1" min="68" max="68"/>
    <col width="5.6" customWidth="1" min="69" max="69"/>
    <col width="5" customWidth="1" min="70" max="70"/>
    <col width="10.5" customWidth="1" min="71" max="71"/>
    <col width="10.5" customWidth="1" min="72" max="72"/>
    <col hidden="1" width="13" customWidth="1" min="73" max="73"/>
    <col hidden="1" width="13" customWidth="1" min="74" max="74"/>
    <col hidden="1" width="13" customWidth="1" min="75" max="75"/>
    <col width="5.6" customWidth="1" min="76" max="76"/>
    <col width="5.6" customWidth="1" min="77" max="77"/>
    <col width="5" customWidth="1" min="78" max="78"/>
    <col width="10.5" customWidth="1" min="79" max="79"/>
    <col width="10.5" customWidth="1" min="80" max="80"/>
    <col hidden="1" width="13" customWidth="1" min="81" max="81"/>
    <col hidden="1" width="13" customWidth="1" min="82" max="82"/>
    <col hidden="1" width="13" customWidth="1" min="83" max="83"/>
    <col width="5.6" customWidth="1" min="84" max="84"/>
    <col width="5.6" customWidth="1" min="85" max="85"/>
    <col width="5" customWidth="1" min="86" max="86"/>
    <col width="10.5" customWidth="1" min="87" max="87"/>
    <col width="10.5" customWidth="1" min="88" max="88"/>
    <col hidden="1" width="13" customWidth="1" min="89" max="89"/>
    <col hidden="1" width="13" customWidth="1" min="90" max="90"/>
    <col hidden="1" width="13" customWidth="1" min="91" max="91"/>
    <col hidden="1" width="13" customWidth="1" min="93" max="93"/>
    <col hidden="1" width="13" customWidth="1" min="94" max="94"/>
    <col hidden="1" width="13" customWidth="1" min="95" max="95"/>
    <col hidden="1" width="13" customWidth="1" min="96" max="96"/>
    <col hidden="1" width="13" customWidth="1" min="97" max="97"/>
    <col hidden="1" width="13" customWidth="1" min="98" max="98"/>
    <col hidden="1" width="13" customWidth="1" min="99" max="99"/>
    <col hidden="1" width="13" customWidth="1" min="100" max="100"/>
    <col hidden="1" width="13" customWidth="1" min="101" max="101"/>
    <col hidden="1" width="13" customWidth="1" min="102" max="102"/>
  </cols>
  <sheetData>
    <row r="1" ht="48" customHeight="1">
      <c r="A1" s="385" t="inlineStr">
        <is>
          <t>🏠</t>
        </is>
      </c>
      <c r="B1" s="386" t="n"/>
      <c r="C1" s="386" t="n"/>
      <c r="D1" s="386" t="n"/>
      <c r="E1" s="386" t="n"/>
      <c r="F1" s="386" t="n"/>
      <c r="G1" s="386" t="n"/>
      <c r="H1" s="386" t="n"/>
      <c r="I1" s="386" t="n"/>
      <c r="J1" s="386" t="n"/>
      <c r="K1" s="386" t="n"/>
      <c r="L1" s="386" t="n"/>
      <c r="M1" s="386" t="n"/>
      <c r="N1" s="386" t="n"/>
      <c r="O1" s="386" t="n"/>
      <c r="P1" s="386" t="n"/>
      <c r="Q1" s="386" t="n"/>
      <c r="R1" s="386" t="n"/>
      <c r="S1" s="386" t="n"/>
      <c r="T1" s="386" t="n"/>
      <c r="U1" s="386" t="n"/>
      <c r="V1" s="386" t="n"/>
      <c r="W1" s="386" t="n"/>
      <c r="X1" s="386" t="n"/>
      <c r="Y1" s="386" t="n"/>
      <c r="Z1" s="386" t="n"/>
      <c r="AA1" s="386" t="n"/>
      <c r="AB1" s="386" t="n"/>
      <c r="AC1" s="386" t="n"/>
      <c r="AD1" s="386" t="n"/>
      <c r="AE1" s="386" t="n"/>
      <c r="AF1" s="386" t="n"/>
      <c r="AG1" s="386" t="n"/>
      <c r="AH1" s="386" t="n"/>
      <c r="AI1" s="386" t="n"/>
      <c r="AJ1" s="386" t="n"/>
      <c r="AK1" s="386" t="n"/>
      <c r="AL1" s="386" t="n"/>
      <c r="AM1" s="386" t="n"/>
      <c r="AN1" s="386" t="n"/>
      <c r="AO1" s="386" t="n"/>
      <c r="AP1" s="386" t="n"/>
      <c r="AQ1" s="386" t="n"/>
      <c r="AR1" s="386" t="n"/>
      <c r="AS1" s="386" t="n"/>
      <c r="AT1" s="386" t="n"/>
      <c r="AU1" s="386" t="n"/>
      <c r="AV1" s="386" t="n"/>
      <c r="AW1" s="386" t="n"/>
      <c r="AX1" s="386" t="n"/>
      <c r="AY1" s="386" t="n"/>
      <c r="AZ1" s="386" t="n"/>
      <c r="BA1" s="386" t="n"/>
      <c r="BB1" s="386" t="n"/>
      <c r="BC1" s="386" t="n"/>
      <c r="BD1" s="386" t="n"/>
      <c r="BE1" s="386" t="n"/>
      <c r="BF1" s="386" t="n"/>
      <c r="BG1" s="386" t="n"/>
      <c r="BH1" s="386" t="n"/>
      <c r="BI1" s="386" t="n"/>
      <c r="BJ1" s="386" t="n"/>
      <c r="BK1" s="386" t="n"/>
      <c r="BL1" s="386" t="n"/>
      <c r="BM1" s="386" t="n"/>
      <c r="BN1" s="386" t="n"/>
      <c r="BO1" s="386" t="n"/>
      <c r="BP1" s="386" t="n"/>
      <c r="BQ1" s="386" t="n"/>
      <c r="BR1" s="386" t="n"/>
      <c r="BS1" s="386" t="n"/>
      <c r="BT1" s="386" t="n"/>
      <c r="BU1" s="386" t="n"/>
      <c r="BV1" s="386" t="n"/>
      <c r="BW1" s="386" t="n"/>
      <c r="BX1" s="386" t="n"/>
      <c r="BY1" s="386" t="n"/>
      <c r="BZ1" s="386" t="n"/>
      <c r="CA1" s="386" t="n"/>
      <c r="CB1" s="386" t="n"/>
      <c r="CC1" s="386" t="n"/>
      <c r="CD1" s="386" t="n"/>
      <c r="CE1" s="386" t="n"/>
      <c r="CF1" s="386" t="n"/>
      <c r="CG1" s="386" t="n"/>
      <c r="CH1" s="386" t="n"/>
      <c r="CI1" s="386" t="n"/>
      <c r="CJ1" s="386" t="n"/>
      <c r="CK1" s="386" t="n"/>
      <c r="CL1" s="386" t="n"/>
      <c r="CM1" s="386" t="n"/>
    </row>
    <row r="2" ht="20" customHeight="1">
      <c r="A2" s="387" t="inlineStr">
        <is>
          <t>หน้าหลัก</t>
        </is>
      </c>
      <c r="B2" s="38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389" t="n"/>
      <c r="D2" s="389" t="n"/>
      <c r="E2" s="389" t="n"/>
      <c r="F2" s="389" t="n"/>
      <c r="G2" s="389" t="n"/>
      <c r="H2" s="389" t="n"/>
      <c r="I2" s="389" t="n"/>
      <c r="J2" s="389" t="n"/>
      <c r="K2" s="389" t="n"/>
      <c r="L2" s="389" t="n"/>
      <c r="M2" s="389" t="n"/>
      <c r="N2" s="389" t="n"/>
      <c r="O2" s="389" t="n"/>
      <c r="P2" s="389" t="n"/>
      <c r="Q2" s="389" t="n"/>
      <c r="R2" s="389" t="n"/>
      <c r="S2" s="389" t="n"/>
      <c r="T2" s="389" t="n"/>
      <c r="U2" s="389" t="n"/>
      <c r="V2" s="389" t="n"/>
      <c r="W2" s="389" t="n"/>
      <c r="X2" s="389" t="n"/>
      <c r="Y2" s="389" t="n"/>
      <c r="Z2" s="389" t="n"/>
      <c r="AA2" s="389" t="n"/>
      <c r="AB2" s="389" t="n"/>
      <c r="AC2" s="389" t="n"/>
      <c r="AD2" s="389" t="n"/>
      <c r="AE2" s="389" t="n"/>
      <c r="AF2" s="389" t="n"/>
      <c r="AG2" s="389" t="n"/>
      <c r="AH2" s="389" t="n"/>
      <c r="AI2" s="389" t="n"/>
      <c r="AJ2" s="389" t="n"/>
      <c r="AK2" s="389" t="n"/>
      <c r="AL2" s="389" t="n"/>
      <c r="AM2" s="389" t="n"/>
      <c r="AN2" s="389" t="n"/>
      <c r="AO2" s="389" t="n"/>
      <c r="AP2" s="389" t="n"/>
      <c r="AQ2" s="389" t="n"/>
      <c r="AR2" s="389" t="n"/>
      <c r="AS2" s="389" t="n"/>
      <c r="AT2" s="389" t="n"/>
      <c r="AU2" s="389" t="n"/>
      <c r="AV2" s="389" t="n"/>
      <c r="AW2" s="389" t="n"/>
      <c r="AX2" s="389" t="n"/>
      <c r="AY2" s="389" t="n"/>
      <c r="AZ2" s="389" t="n"/>
      <c r="BA2" s="389" t="n"/>
      <c r="BB2" s="389" t="n"/>
      <c r="BC2" s="389" t="n"/>
      <c r="BD2" s="389" t="n"/>
      <c r="BE2" s="389" t="n"/>
      <c r="BF2" s="389" t="n"/>
      <c r="BG2" s="389" t="n"/>
      <c r="BH2" s="389" t="n"/>
      <c r="BI2" s="389" t="n"/>
      <c r="BJ2" s="389" t="n"/>
      <c r="BK2" s="389" t="n"/>
      <c r="BL2" s="389" t="n"/>
      <c r="BM2" s="389" t="n"/>
      <c r="BN2" s="389" t="n"/>
      <c r="BO2" s="389" t="n"/>
      <c r="BP2" s="389" t="n"/>
      <c r="BQ2" s="389" t="n"/>
      <c r="BR2" s="389" t="n"/>
      <c r="BS2" s="389" t="n"/>
      <c r="BT2" s="389" t="n"/>
      <c r="BU2" s="389" t="n"/>
      <c r="BV2" s="389" t="n"/>
      <c r="BW2" s="389" t="n"/>
      <c r="BX2" s="389" t="n"/>
      <c r="BY2" s="389" t="n"/>
      <c r="BZ2" s="389" t="n"/>
      <c r="CA2" s="389" t="n"/>
      <c r="CB2" s="389" t="n"/>
      <c r="CC2" s="389" t="n"/>
      <c r="CD2" s="389" t="n"/>
      <c r="CE2" s="389" t="n"/>
      <c r="CF2" s="389" t="n"/>
      <c r="CG2" s="389" t="n"/>
      <c r="CH2" s="389" t="n"/>
      <c r="CI2" s="389" t="n"/>
      <c r="CJ2" s="389" t="n"/>
      <c r="CK2" s="389" t="n"/>
      <c r="CL2" s="389" t="n"/>
      <c r="CM2" s="389" t="n"/>
    </row>
    <row r="3">
      <c r="B3" s="390" t="inlineStr">
        <is>
          <t>ใส่วันที่วัด น้ำหนัก (กก.) และส่วนสูง (ซม.)  •  BMI และภาวะโภชนาการประเมินให้อัตโนมัติตามมาตรฐาน WHO ที่กรมอนามัยใช้ (อายุ 2 - 5 ปี 11 เดือน)</t>
        </is>
      </c>
    </row>
    <row r="4"/>
    <row r="5" ht="22" customHeight="1">
      <c r="A5" s="391" t="inlineStr">
        <is>
          <t>เลขที่</t>
        </is>
      </c>
      <c r="B5" s="391" t="inlineStr">
        <is>
          <t>ชื่อ - สกุล</t>
        </is>
      </c>
      <c r="C5" s="392" t="inlineStr">
        <is>
          <t>เพศ /
อายุ</t>
        </is>
      </c>
      <c r="D5" s="393">
        <f>"พฤษภาคม "&amp;('ข้อมูลโรงเรียน'!$C$12-543+543)</f>
        <v/>
      </c>
      <c r="L5" s="394">
        <f>"มิถุนายน "&amp;('ข้อมูลโรงเรียน'!$C$12-543+543)</f>
        <v/>
      </c>
      <c r="T5" s="393">
        <f>"กรกฎาคม "&amp;('ข้อมูลโรงเรียน'!$C$12-543+543)</f>
        <v/>
      </c>
      <c r="AB5" s="394">
        <f>"สิงหาคม "&amp;('ข้อมูลโรงเรียน'!$C$12-543+543)</f>
        <v/>
      </c>
      <c r="AJ5" s="393">
        <f>"กันยายน "&amp;('ข้อมูลโรงเรียน'!$C$12-543+543)</f>
        <v/>
      </c>
      <c r="AR5" s="394">
        <f>"ตุลาคม "&amp;('ข้อมูลโรงเรียน'!$C$12-543+543)</f>
        <v/>
      </c>
      <c r="AZ5" s="393">
        <f>"พฤศจิกายน "&amp;('ข้อมูลโรงเรียน'!$C$12-543+543)</f>
        <v/>
      </c>
      <c r="BH5" s="394">
        <f>"ธันวาคม "&amp;('ข้อมูลโรงเรียน'!$C$12-543+543)</f>
        <v/>
      </c>
      <c r="BP5" s="393">
        <f>"มกราคม "&amp;('ข้อมูลโรงเรียน'!$C$12-542+543)</f>
        <v/>
      </c>
      <c r="BX5" s="394">
        <f>"กุมภาพันธ์ "&amp;('ข้อมูลโรงเรียน'!$C$12-542+543)</f>
        <v/>
      </c>
      <c r="CF5" s="393">
        <f>"มีนาคม "&amp;('ข้อมูลโรงเรียน'!$C$12-542+543)</f>
        <v/>
      </c>
    </row>
    <row r="6">
      <c r="D6" s="395" t="inlineStr">
        <is>
          <t>วันที่วัด</t>
        </is>
      </c>
      <c r="F6" s="396" t="n"/>
      <c r="G6" s="397">
        <f>"พ.ค. "&amp;RIGHT('ข้อมูลโรงเรียน'!$C$12-543+543,2)&amp;IF(F6="","  (ไม่ระบุ = วันที่ 15)","")</f>
        <v/>
      </c>
      <c r="L6" s="395" t="inlineStr">
        <is>
          <t>วันที่วัด</t>
        </is>
      </c>
      <c r="N6" s="396" t="n"/>
      <c r="O6" s="397">
        <f>"มิ.ย. "&amp;RIGHT('ข้อมูลโรงเรียน'!$C$12-543+543,2)&amp;IF(N6="","  (ไม่ระบุ = วันที่ 15)","")</f>
        <v/>
      </c>
      <c r="T6" s="395" t="inlineStr">
        <is>
          <t>วันที่วัด</t>
        </is>
      </c>
      <c r="V6" s="396" t="n"/>
      <c r="W6" s="397">
        <f>"ก.ค. "&amp;RIGHT('ข้อมูลโรงเรียน'!$C$12-543+543,2)&amp;IF(V6="","  (ไม่ระบุ = วันที่ 15)","")</f>
        <v/>
      </c>
      <c r="AB6" s="395" t="inlineStr">
        <is>
          <t>วันที่วัด</t>
        </is>
      </c>
      <c r="AD6" s="396" t="n"/>
      <c r="AE6" s="397">
        <f>"ส.ค. "&amp;RIGHT('ข้อมูลโรงเรียน'!$C$12-543+543,2)&amp;IF(AD6="","  (ไม่ระบุ = วันที่ 15)","")</f>
        <v/>
      </c>
      <c r="AJ6" s="395" t="inlineStr">
        <is>
          <t>วันที่วัด</t>
        </is>
      </c>
      <c r="AL6" s="396" t="n"/>
      <c r="AM6" s="397">
        <f>"ก.ย. "&amp;RIGHT('ข้อมูลโรงเรียน'!$C$12-543+543,2)&amp;IF(AL6="","  (ไม่ระบุ = วันที่ 15)","")</f>
        <v/>
      </c>
      <c r="AR6" s="395" t="inlineStr">
        <is>
          <t>วันที่วัด</t>
        </is>
      </c>
      <c r="AT6" s="396" t="n"/>
      <c r="AU6" s="397">
        <f>"ต.ค. "&amp;RIGHT('ข้อมูลโรงเรียน'!$C$12-543+543,2)&amp;IF(AT6="","  (ไม่ระบุ = วันที่ 15)","")</f>
        <v/>
      </c>
      <c r="AZ6" s="395" t="inlineStr">
        <is>
          <t>วันที่วัด</t>
        </is>
      </c>
      <c r="BB6" s="396" t="n"/>
      <c r="BC6" s="397">
        <f>"พ.ย. "&amp;RIGHT('ข้อมูลโรงเรียน'!$C$12-543+543,2)&amp;IF(BB6="","  (ไม่ระบุ = วันที่ 15)","")</f>
        <v/>
      </c>
      <c r="BH6" s="395" t="inlineStr">
        <is>
          <t>วันที่วัด</t>
        </is>
      </c>
      <c r="BJ6" s="396" t="n"/>
      <c r="BK6" s="397">
        <f>"ธ.ค. "&amp;RIGHT('ข้อมูลโรงเรียน'!$C$12-543+543,2)&amp;IF(BJ6="","  (ไม่ระบุ = วันที่ 15)","")</f>
        <v/>
      </c>
      <c r="BP6" s="395" t="inlineStr">
        <is>
          <t>วันที่วัด</t>
        </is>
      </c>
      <c r="BR6" s="396" t="n"/>
      <c r="BS6" s="397">
        <f>"ม.ค. "&amp;RIGHT('ข้อมูลโรงเรียน'!$C$12-542+543,2)&amp;IF(BR6="","  (ไม่ระบุ = วันที่ 15)","")</f>
        <v/>
      </c>
      <c r="BX6" s="395" t="inlineStr">
        <is>
          <t>วันที่วัด</t>
        </is>
      </c>
      <c r="BZ6" s="396" t="n"/>
      <c r="CA6" s="397">
        <f>"ก.พ. "&amp;RIGHT('ข้อมูลโรงเรียน'!$C$12-542+543,2)&amp;IF(BZ6="","  (ไม่ระบุ = วันที่ 15)","")</f>
        <v/>
      </c>
      <c r="CF6" s="395" t="inlineStr">
        <is>
          <t>วันที่วัด</t>
        </is>
      </c>
      <c r="CH6" s="396" t="n"/>
      <c r="CI6" s="397">
        <f>"มี.ค. "&amp;RIGHT('ข้อมูลโรงเรียน'!$C$12-542+543,2)&amp;IF(CH6="","  (ไม่ระบุ = วันที่ 15)","")</f>
        <v/>
      </c>
    </row>
    <row r="7">
      <c r="D7" s="395" t="inlineStr">
        <is>
          <t>น้ำหนัก
(กก.)</t>
        </is>
      </c>
      <c r="E7" s="398" t="inlineStr">
        <is>
          <t>ส่วนสูง
(ซม.)</t>
        </is>
      </c>
      <c r="F7" s="398" t="inlineStr">
        <is>
          <t>BMI</t>
        </is>
      </c>
      <c r="G7" s="398" t="inlineStr">
        <is>
          <t>น้ำหนัก
ตามเกณฑ์
ส่วนสูง</t>
        </is>
      </c>
      <c r="H7" s="398" t="inlineStr">
        <is>
          <t>ส่วนสูง
ตามเกณฑ์
อายุ</t>
        </is>
      </c>
      <c r="I7" t="inlineStr">
        <is>
          <t>อายุ(ด.)</t>
        </is>
      </c>
      <c r="J7" t="inlineStr">
        <is>
          <t>zWH</t>
        </is>
      </c>
      <c r="K7" t="inlineStr">
        <is>
          <t>zHA</t>
        </is>
      </c>
      <c r="L7" s="395" t="inlineStr">
        <is>
          <t>น้ำหนัก
(กก.)</t>
        </is>
      </c>
      <c r="M7" s="398" t="inlineStr">
        <is>
          <t>ส่วนสูง
(ซม.)</t>
        </is>
      </c>
      <c r="N7" s="398" t="inlineStr">
        <is>
          <t>BMI</t>
        </is>
      </c>
      <c r="O7" s="398" t="inlineStr">
        <is>
          <t>น้ำหนัก
ตามเกณฑ์
ส่วนสูง</t>
        </is>
      </c>
      <c r="P7" s="398" t="inlineStr">
        <is>
          <t>ส่วนสูง
ตามเกณฑ์
อายุ</t>
        </is>
      </c>
      <c r="Q7" t="inlineStr">
        <is>
          <t>อายุ(ด.)</t>
        </is>
      </c>
      <c r="R7" t="inlineStr">
        <is>
          <t>zWH</t>
        </is>
      </c>
      <c r="S7" t="inlineStr">
        <is>
          <t>zHA</t>
        </is>
      </c>
      <c r="T7" s="395" t="inlineStr">
        <is>
          <t>น้ำหนัก
(กก.)</t>
        </is>
      </c>
      <c r="U7" s="398" t="inlineStr">
        <is>
          <t>ส่วนสูง
(ซม.)</t>
        </is>
      </c>
      <c r="V7" s="398" t="inlineStr">
        <is>
          <t>BMI</t>
        </is>
      </c>
      <c r="W7" s="398" t="inlineStr">
        <is>
          <t>น้ำหนัก
ตามเกณฑ์
ส่วนสูง</t>
        </is>
      </c>
      <c r="X7" s="398" t="inlineStr">
        <is>
          <t>ส่วนสูง
ตามเกณฑ์
อายุ</t>
        </is>
      </c>
      <c r="Y7" t="inlineStr">
        <is>
          <t>อายุ(ด.)</t>
        </is>
      </c>
      <c r="Z7" t="inlineStr">
        <is>
          <t>zWH</t>
        </is>
      </c>
      <c r="AA7" t="inlineStr">
        <is>
          <t>zHA</t>
        </is>
      </c>
      <c r="AB7" s="395" t="inlineStr">
        <is>
          <t>น้ำหนัก
(กก.)</t>
        </is>
      </c>
      <c r="AC7" s="398" t="inlineStr">
        <is>
          <t>ส่วนสูง
(ซม.)</t>
        </is>
      </c>
      <c r="AD7" s="398" t="inlineStr">
        <is>
          <t>BMI</t>
        </is>
      </c>
      <c r="AE7" s="398" t="inlineStr">
        <is>
          <t>น้ำหนัก
ตามเกณฑ์
ส่วนสูง</t>
        </is>
      </c>
      <c r="AF7" s="398" t="inlineStr">
        <is>
          <t>ส่วนสูง
ตามเกณฑ์
อายุ</t>
        </is>
      </c>
      <c r="AG7" t="inlineStr">
        <is>
          <t>อายุ(ด.)</t>
        </is>
      </c>
      <c r="AH7" t="inlineStr">
        <is>
          <t>zWH</t>
        </is>
      </c>
      <c r="AI7" t="inlineStr">
        <is>
          <t>zHA</t>
        </is>
      </c>
      <c r="AJ7" s="395" t="inlineStr">
        <is>
          <t>น้ำหนัก
(กก.)</t>
        </is>
      </c>
      <c r="AK7" s="398" t="inlineStr">
        <is>
          <t>ส่วนสูง
(ซม.)</t>
        </is>
      </c>
      <c r="AL7" s="398" t="inlineStr">
        <is>
          <t>BMI</t>
        </is>
      </c>
      <c r="AM7" s="398" t="inlineStr">
        <is>
          <t>น้ำหนัก
ตามเกณฑ์
ส่วนสูง</t>
        </is>
      </c>
      <c r="AN7" s="398" t="inlineStr">
        <is>
          <t>ส่วนสูง
ตามเกณฑ์
อายุ</t>
        </is>
      </c>
      <c r="AO7" t="inlineStr">
        <is>
          <t>อายุ(ด.)</t>
        </is>
      </c>
      <c r="AP7" t="inlineStr">
        <is>
          <t>zWH</t>
        </is>
      </c>
      <c r="AQ7" t="inlineStr">
        <is>
          <t>zHA</t>
        </is>
      </c>
      <c r="AR7" s="395" t="inlineStr">
        <is>
          <t>น้ำหนัก
(กก.)</t>
        </is>
      </c>
      <c r="AS7" s="398" t="inlineStr">
        <is>
          <t>ส่วนสูง
(ซม.)</t>
        </is>
      </c>
      <c r="AT7" s="398" t="inlineStr">
        <is>
          <t>BMI</t>
        </is>
      </c>
      <c r="AU7" s="398" t="inlineStr">
        <is>
          <t>น้ำหนัก
ตามเกณฑ์
ส่วนสูง</t>
        </is>
      </c>
      <c r="AV7" s="398" t="inlineStr">
        <is>
          <t>ส่วนสูง
ตามเกณฑ์
อายุ</t>
        </is>
      </c>
      <c r="AW7" t="inlineStr">
        <is>
          <t>อายุ(ด.)</t>
        </is>
      </c>
      <c r="AX7" t="inlineStr">
        <is>
          <t>zWH</t>
        </is>
      </c>
      <c r="AY7" t="inlineStr">
        <is>
          <t>zHA</t>
        </is>
      </c>
      <c r="AZ7" s="395" t="inlineStr">
        <is>
          <t>น้ำหนัก
(กก.)</t>
        </is>
      </c>
      <c r="BA7" s="398" t="inlineStr">
        <is>
          <t>ส่วนสูง
(ซม.)</t>
        </is>
      </c>
      <c r="BB7" s="398" t="inlineStr">
        <is>
          <t>BMI</t>
        </is>
      </c>
      <c r="BC7" s="398" t="inlineStr">
        <is>
          <t>น้ำหนัก
ตามเกณฑ์
ส่วนสูง</t>
        </is>
      </c>
      <c r="BD7" s="398" t="inlineStr">
        <is>
          <t>ส่วนสูง
ตามเกณฑ์
อายุ</t>
        </is>
      </c>
      <c r="BE7" t="inlineStr">
        <is>
          <t>อายุ(ด.)</t>
        </is>
      </c>
      <c r="BF7" t="inlineStr">
        <is>
          <t>zWH</t>
        </is>
      </c>
      <c r="BG7" t="inlineStr">
        <is>
          <t>zHA</t>
        </is>
      </c>
      <c r="BH7" s="395" t="inlineStr">
        <is>
          <t>น้ำหนัก
(กก.)</t>
        </is>
      </c>
      <c r="BI7" s="398" t="inlineStr">
        <is>
          <t>ส่วนสูง
(ซม.)</t>
        </is>
      </c>
      <c r="BJ7" s="398" t="inlineStr">
        <is>
          <t>BMI</t>
        </is>
      </c>
      <c r="BK7" s="398" t="inlineStr">
        <is>
          <t>น้ำหนัก
ตามเกณฑ์
ส่วนสูง</t>
        </is>
      </c>
      <c r="BL7" s="398" t="inlineStr">
        <is>
          <t>ส่วนสูง
ตามเกณฑ์
อายุ</t>
        </is>
      </c>
      <c r="BM7" t="inlineStr">
        <is>
          <t>อายุ(ด.)</t>
        </is>
      </c>
      <c r="BN7" t="inlineStr">
        <is>
          <t>zWH</t>
        </is>
      </c>
      <c r="BO7" t="inlineStr">
        <is>
          <t>zHA</t>
        </is>
      </c>
      <c r="BP7" s="395" t="inlineStr">
        <is>
          <t>น้ำหนัก
(กก.)</t>
        </is>
      </c>
      <c r="BQ7" s="398" t="inlineStr">
        <is>
          <t>ส่วนสูง
(ซม.)</t>
        </is>
      </c>
      <c r="BR7" s="398" t="inlineStr">
        <is>
          <t>BMI</t>
        </is>
      </c>
      <c r="BS7" s="398" t="inlineStr">
        <is>
          <t>น้ำหนัก
ตามเกณฑ์
ส่วนสูง</t>
        </is>
      </c>
      <c r="BT7" s="398" t="inlineStr">
        <is>
          <t>ส่วนสูง
ตามเกณฑ์
อายุ</t>
        </is>
      </c>
      <c r="BU7" t="inlineStr">
        <is>
          <t>อายุ(ด.)</t>
        </is>
      </c>
      <c r="BV7" t="inlineStr">
        <is>
          <t>zWH</t>
        </is>
      </c>
      <c r="BW7" t="inlineStr">
        <is>
          <t>zHA</t>
        </is>
      </c>
      <c r="BX7" s="395" t="inlineStr">
        <is>
          <t>น้ำหนัก
(กก.)</t>
        </is>
      </c>
      <c r="BY7" s="398" t="inlineStr">
        <is>
          <t>ส่วนสูง
(ซม.)</t>
        </is>
      </c>
      <c r="BZ7" s="398" t="inlineStr">
        <is>
          <t>BMI</t>
        </is>
      </c>
      <c r="CA7" s="398" t="inlineStr">
        <is>
          <t>น้ำหนัก
ตามเกณฑ์
ส่วนสูง</t>
        </is>
      </c>
      <c r="CB7" s="398" t="inlineStr">
        <is>
          <t>ส่วนสูง
ตามเกณฑ์
อายุ</t>
        </is>
      </c>
      <c r="CC7" t="inlineStr">
        <is>
          <t>อายุ(ด.)</t>
        </is>
      </c>
      <c r="CD7" t="inlineStr">
        <is>
          <t>zWH</t>
        </is>
      </c>
      <c r="CE7" t="inlineStr">
        <is>
          <t>zHA</t>
        </is>
      </c>
      <c r="CF7" s="395" t="inlineStr">
        <is>
          <t>น้ำหนัก
(กก.)</t>
        </is>
      </c>
      <c r="CG7" s="398" t="inlineStr">
        <is>
          <t>ส่วนสูง
(ซม.)</t>
        </is>
      </c>
      <c r="CH7" s="398" t="inlineStr">
        <is>
          <t>BMI</t>
        </is>
      </c>
      <c r="CI7" s="398" t="inlineStr">
        <is>
          <t>น้ำหนัก
ตามเกณฑ์
ส่วนสูง</t>
        </is>
      </c>
      <c r="CJ7" s="398" t="inlineStr">
        <is>
          <t>ส่วนสูง
ตามเกณฑ์
อายุ</t>
        </is>
      </c>
      <c r="CK7" t="inlineStr">
        <is>
          <t>อายุ(ด.)</t>
        </is>
      </c>
      <c r="CL7" t="inlineStr">
        <is>
          <t>zWH</t>
        </is>
      </c>
      <c r="CM7" t="inlineStr">
        <is>
          <t>zHA</t>
        </is>
      </c>
    </row>
    <row r="8" ht="30" customHeight="1">
      <c r="D8" s="399" t="n"/>
      <c r="L8" s="399" t="n"/>
      <c r="T8" s="399" t="n"/>
      <c r="AB8" s="399" t="n"/>
      <c r="AJ8" s="399" t="n"/>
      <c r="AR8" s="399" t="n"/>
      <c r="AZ8" s="399" t="n"/>
      <c r="BH8" s="399" t="n"/>
      <c r="BP8" s="399" t="n"/>
      <c r="BX8" s="399" t="n"/>
      <c r="CF8" s="399" t="n"/>
      <c r="CO8" t="inlineStr">
        <is>
          <t>ล่าสุด ภ1 W</t>
        </is>
      </c>
      <c r="CP8" t="inlineStr">
        <is>
          <t>ล่าสุด ภ1 H</t>
        </is>
      </c>
      <c r="CQ8" t="inlineStr">
        <is>
          <t>ล่าสุด ภ1 WH</t>
        </is>
      </c>
      <c r="CR8" t="inlineStr">
        <is>
          <t>ล่าสุด ภ1 HA</t>
        </is>
      </c>
      <c r="CS8" t="inlineStr">
        <is>
          <t>ล่าสุด ภ1 M</t>
        </is>
      </c>
      <c r="CT8" t="inlineStr">
        <is>
          <t>ล่าสุด ภ2 W</t>
        </is>
      </c>
      <c r="CU8" t="inlineStr">
        <is>
          <t>ล่าสุด ภ2 H</t>
        </is>
      </c>
      <c r="CV8" t="inlineStr">
        <is>
          <t>ล่าสุด ภ2 WH</t>
        </is>
      </c>
      <c r="CW8" t="inlineStr">
        <is>
          <t>ล่าสุด ภ2 HA</t>
        </is>
      </c>
      <c r="CX8" t="inlineStr">
        <is>
          <t>ล่าสุด ภ2 M</t>
        </is>
      </c>
    </row>
    <row r="9">
      <c r="A9" s="218" t="n">
        <v>1</v>
      </c>
      <c r="B9" s="219">
        <f>'ข้อมูลนักเรียน'!T9</f>
        <v/>
      </c>
      <c r="C9" s="400">
        <f>IF(B9="","",IF('ข้อมูลนักเรียน'!D9="ด.ช.","ชาย",IF('ข้อมูลนักเรียน'!D9="ด.ญ.","หญิง",""))&amp;CHAR(10)&amp;'ข้อมูลนักเรียน'!K9)</f>
        <v/>
      </c>
      <c r="D9" s="401" t="n"/>
      <c r="E9" s="402" t="n"/>
      <c r="F9" s="403">
        <f>IF(OR(D9="",E9=""),"",ROUND(D9/(E9/100)^2,1))</f>
        <v/>
      </c>
      <c r="G9" s="232">
        <f>IF(OR($B9="",D9="",E9=""),"",IF(J9="","ตรวจสอบข้อมูล",IF(J9&lt;-2,"ผอม",IF(J9&lt;-1.5,"ค่อนข้างผอม",IF(J9&lt;=1.5,"สมส่วน",IF(J9&lt;=2,"ท้วม",IF(J9&lt;=3,"เริ่มอ้วน","อ้วน")))))))</f>
        <v/>
      </c>
      <c r="H9" s="232">
        <f>IF(OR($B9="",D9="",E9=""),"",IF(K9="","ตรวจสอบข้อมูล",IF(K9&lt;-2,"เตี้ย",IF(K9&lt;-1.5,"ค่อนข้างเตี้ย",IF(K9&lt;=1.5,"ตามเกณฑ์",IF(K9&lt;=2,"ค่อนข้างสูง","สูง"))))))</f>
        <v/>
      </c>
      <c r="I9" s="404">
        <f>IF(OR($B9="",D9="",E9="",'ข้อมูลนักเรียน'!$S9=""),"",IFERROR(DATEDIF('ข้อมูลนักเรียน'!$S9,DATE('ข้อมูลโรงเรียน'!$C$12-543,5,IF($F$6="",15,$F$6)),"m"),""))</f>
        <v/>
      </c>
      <c r="J9" s="404">
        <f>IF(I9="","",IF(OR(I9&lt;24,I9&gt;71,E9&lt;65,E9&gt;120,(IF('ข้อมูลนักเรียน'!$D9="ด.ช.",0,IF('ข้อมูลนักเรียน'!$D9="ด.ญ.",3,-99)))&lt;0),"",IFERROR(((D9/INDEX('เกณฑ์WHO'!$B$2:$G$112,MATCH(ROUND(E9*2,0)/2,'เกณฑ์WHO'!$A$2:$A$112,0),2+(IF('ข้อมูลนักเรียน'!$D9="ด.ช.",0,IF('ข้อมูลนักเรียน'!$D9="ด.ญ.",3,-99)))))^INDEX('เกณฑ์WHO'!$B$2:$G$112,MATCH(ROUND(E9*2,0)/2,'เกณฑ์WHO'!$A$2:$A$112,0),1+(IF('ข้อมูลนักเรียน'!$D9="ด.ช.",0,IF('ข้อมูลนักเรียน'!$D9="ด.ญ.",3,-99))))-1)/(INDEX('เกณฑ์WHO'!$B$2:$G$112,MATCH(ROUND(E9*2,0)/2,'เกณฑ์WHO'!$A$2:$A$112,0),1+(IF('ข้อมูลนักเรียน'!$D9="ด.ช.",0,IF('ข้อมูลนักเรียน'!$D9="ด.ญ.",3,-99))))*INDEX('เกณฑ์WHO'!$B$2:$G$112,MATCH(ROUND(E9*2,0)/2,'เกณฑ์WHO'!$A$2:$A$112,0),3+(IF('ข้อมูลนักเรียน'!$D9="ด.ช.",0,IF('ข้อมูลนักเรียน'!$D9="ด.ญ.",3,-99))))),"")))</f>
        <v/>
      </c>
      <c r="K9" s="404">
        <f>IF(I9="","",IF(OR(I9&lt;24,I9&gt;71,(IF('ข้อมูลนักเรียน'!$D9="ด.ช.",0,IF('ข้อมูลนักเรียน'!$D9="ด.ญ.",2,-99)))&lt;0),"",IFERROR((E9/INDEX('เกณฑ์WHO'!$J$2:$M$61,MATCH(I9,'เกณฑ์WHO'!$I$2:$I$61,0),1+(IF('ข้อมูลนักเรียน'!$D9="ด.ช.",0,IF('ข้อมูลนักเรียน'!$D9="ด.ญ.",2,-99))))-1)/INDEX('เกณฑ์WHO'!$J$2:$M$61,MATCH(I9,'เกณฑ์WHO'!$I$2:$I$61,0),2+(IF('ข้อมูลนักเรียน'!$D9="ด.ช.",0,IF('ข้อมูลนักเรียน'!$D9="ด.ญ.",2,-99)))),"")))</f>
        <v/>
      </c>
      <c r="L9" s="401" t="n"/>
      <c r="M9" s="402" t="n"/>
      <c r="N9" s="403">
        <f>IF(OR(L9="",M9=""),"",ROUND(L9/(M9/100)^2,1))</f>
        <v/>
      </c>
      <c r="O9" s="232">
        <f>IF(OR($B9="",L9="",M9=""),"",IF(R9="","ตรวจสอบข้อมูล",IF(R9&lt;-2,"ผอม",IF(R9&lt;-1.5,"ค่อนข้างผอม",IF(R9&lt;=1.5,"สมส่วน",IF(R9&lt;=2,"ท้วม",IF(R9&lt;=3,"เริ่มอ้วน","อ้วน")))))))</f>
        <v/>
      </c>
      <c r="P9" s="232">
        <f>IF(OR($B9="",L9="",M9=""),"",IF(S9="","ตรวจสอบข้อมูล",IF(S9&lt;-2,"เตี้ย",IF(S9&lt;-1.5,"ค่อนข้างเตี้ย",IF(S9&lt;=1.5,"ตามเกณฑ์",IF(S9&lt;=2,"ค่อนข้างสูง","สูง"))))))</f>
        <v/>
      </c>
      <c r="Q9" s="404">
        <f>IF(OR($B9="",L9="",M9="",'ข้อมูลนักเรียน'!$S9=""),"",IFERROR(DATEDIF('ข้อมูลนักเรียน'!$S9,DATE('ข้อมูลโรงเรียน'!$C$12-543,6,IF($N$6="",15,$N$6)),"m"),""))</f>
        <v/>
      </c>
      <c r="R9" s="404">
        <f>IF(Q9="","",IF(OR(Q9&lt;24,Q9&gt;71,M9&lt;65,M9&gt;120,(IF('ข้อมูลนักเรียน'!$D9="ด.ช.",0,IF('ข้อมูลนักเรียน'!$D9="ด.ญ.",3,-99)))&lt;0),"",IFERROR(((L9/INDEX('เกณฑ์WHO'!$B$2:$G$112,MATCH(ROUND(M9*2,0)/2,'เกณฑ์WHO'!$A$2:$A$112,0),2+(IF('ข้อมูลนักเรียน'!$D9="ด.ช.",0,IF('ข้อมูลนักเรียน'!$D9="ด.ญ.",3,-99)))))^INDEX('เกณฑ์WHO'!$B$2:$G$112,MATCH(ROUND(M9*2,0)/2,'เกณฑ์WHO'!$A$2:$A$112,0),1+(IF('ข้อมูลนักเรียน'!$D9="ด.ช.",0,IF('ข้อมูลนักเรียน'!$D9="ด.ญ.",3,-99))))-1)/(INDEX('เกณฑ์WHO'!$B$2:$G$112,MATCH(ROUND(M9*2,0)/2,'เกณฑ์WHO'!$A$2:$A$112,0),1+(IF('ข้อมูลนักเรียน'!$D9="ด.ช.",0,IF('ข้อมูลนักเรียน'!$D9="ด.ญ.",3,-99))))*INDEX('เกณฑ์WHO'!$B$2:$G$112,MATCH(ROUND(M9*2,0)/2,'เกณฑ์WHO'!$A$2:$A$112,0),3+(IF('ข้อมูลนักเรียน'!$D9="ด.ช.",0,IF('ข้อมูลนักเรียน'!$D9="ด.ญ.",3,-99))))),"")))</f>
        <v/>
      </c>
      <c r="S9" s="404">
        <f>IF(Q9="","",IF(OR(Q9&lt;24,Q9&gt;71,(IF('ข้อมูลนักเรียน'!$D9="ด.ช.",0,IF('ข้อมูลนักเรียน'!$D9="ด.ญ.",2,-99)))&lt;0),"",IFERROR((M9/INDEX('เกณฑ์WHO'!$J$2:$M$61,MATCH(Q9,'เกณฑ์WHO'!$I$2:$I$61,0),1+(IF('ข้อมูลนักเรียน'!$D9="ด.ช.",0,IF('ข้อมูลนักเรียน'!$D9="ด.ญ.",2,-99))))-1)/INDEX('เกณฑ์WHO'!$J$2:$M$61,MATCH(Q9,'เกณฑ์WHO'!$I$2:$I$61,0),2+(IF('ข้อมูลนักเรียน'!$D9="ด.ช.",0,IF('ข้อมูลนักเรียน'!$D9="ด.ญ.",2,-99)))),"")))</f>
        <v/>
      </c>
      <c r="T9" s="401" t="n"/>
      <c r="U9" s="402" t="n"/>
      <c r="V9" s="403">
        <f>IF(OR(T9="",U9=""),"",ROUND(T9/(U9/100)^2,1))</f>
        <v/>
      </c>
      <c r="W9" s="232">
        <f>IF(OR($B9="",T9="",U9=""),"",IF(Z9="","ตรวจสอบข้อมูล",IF(Z9&lt;-2,"ผอม",IF(Z9&lt;-1.5,"ค่อนข้างผอม",IF(Z9&lt;=1.5,"สมส่วน",IF(Z9&lt;=2,"ท้วม",IF(Z9&lt;=3,"เริ่มอ้วน","อ้วน")))))))</f>
        <v/>
      </c>
      <c r="X9" s="232">
        <f>IF(OR($B9="",T9="",U9=""),"",IF(AA9="","ตรวจสอบข้อมูล",IF(AA9&lt;-2,"เตี้ย",IF(AA9&lt;-1.5,"ค่อนข้างเตี้ย",IF(AA9&lt;=1.5,"ตามเกณฑ์",IF(AA9&lt;=2,"ค่อนข้างสูง","สูง"))))))</f>
        <v/>
      </c>
      <c r="Y9" s="404">
        <f>IF(OR($B9="",T9="",U9="",'ข้อมูลนักเรียน'!$S9=""),"",IFERROR(DATEDIF('ข้อมูลนักเรียน'!$S9,DATE('ข้อมูลโรงเรียน'!$C$12-543,7,IF($V$6="",15,$V$6)),"m"),""))</f>
        <v/>
      </c>
      <c r="Z9" s="404">
        <f>IF(Y9="","",IF(OR(Y9&lt;24,Y9&gt;71,U9&lt;65,U9&gt;120,(IF('ข้อมูลนักเรียน'!$D9="ด.ช.",0,IF('ข้อมูลนักเรียน'!$D9="ด.ญ.",3,-99)))&lt;0),"",IFERROR(((T9/INDEX('เกณฑ์WHO'!$B$2:$G$112,MATCH(ROUND(U9*2,0)/2,'เกณฑ์WHO'!$A$2:$A$112,0),2+(IF('ข้อมูลนักเรียน'!$D9="ด.ช.",0,IF('ข้อมูลนักเรียน'!$D9="ด.ญ.",3,-99)))))^INDEX('เกณฑ์WHO'!$B$2:$G$112,MATCH(ROUND(U9*2,0)/2,'เกณฑ์WHO'!$A$2:$A$112,0),1+(IF('ข้อมูลนักเรียน'!$D9="ด.ช.",0,IF('ข้อมูลนักเรียน'!$D9="ด.ญ.",3,-99))))-1)/(INDEX('เกณฑ์WHO'!$B$2:$G$112,MATCH(ROUND(U9*2,0)/2,'เกณฑ์WHO'!$A$2:$A$112,0),1+(IF('ข้อมูลนักเรียน'!$D9="ด.ช.",0,IF('ข้อมูลนักเรียน'!$D9="ด.ญ.",3,-99))))*INDEX('เกณฑ์WHO'!$B$2:$G$112,MATCH(ROUND(U9*2,0)/2,'เกณฑ์WHO'!$A$2:$A$112,0),3+(IF('ข้อมูลนักเรียน'!$D9="ด.ช.",0,IF('ข้อมูลนักเรียน'!$D9="ด.ญ.",3,-99))))),"")))</f>
        <v/>
      </c>
      <c r="AA9" s="404">
        <f>IF(Y9="","",IF(OR(Y9&lt;24,Y9&gt;71,(IF('ข้อมูลนักเรียน'!$D9="ด.ช.",0,IF('ข้อมูลนักเรียน'!$D9="ด.ญ.",2,-99)))&lt;0),"",IFERROR((U9/INDEX('เกณฑ์WHO'!$J$2:$M$61,MATCH(Y9,'เกณฑ์WHO'!$I$2:$I$61,0),1+(IF('ข้อมูลนักเรียน'!$D9="ด.ช.",0,IF('ข้อมูลนักเรียน'!$D9="ด.ญ.",2,-99))))-1)/INDEX('เกณฑ์WHO'!$J$2:$M$61,MATCH(Y9,'เกณฑ์WHO'!$I$2:$I$61,0),2+(IF('ข้อมูลนักเรียน'!$D9="ด.ช.",0,IF('ข้อมูลนักเรียน'!$D9="ด.ญ.",2,-99)))),"")))</f>
        <v/>
      </c>
      <c r="AB9" s="401" t="n"/>
      <c r="AC9" s="402" t="n"/>
      <c r="AD9" s="403">
        <f>IF(OR(AB9="",AC9=""),"",ROUND(AB9/(AC9/100)^2,1))</f>
        <v/>
      </c>
      <c r="AE9" s="232">
        <f>IF(OR($B9="",AB9="",AC9=""),"",IF(AH9="","ตรวจสอบข้อมูล",IF(AH9&lt;-2,"ผอม",IF(AH9&lt;-1.5,"ค่อนข้างผอม",IF(AH9&lt;=1.5,"สมส่วน",IF(AH9&lt;=2,"ท้วม",IF(AH9&lt;=3,"เริ่มอ้วน","อ้วน")))))))</f>
        <v/>
      </c>
      <c r="AF9" s="232">
        <f>IF(OR($B9="",AB9="",AC9=""),"",IF(AI9="","ตรวจสอบข้อมูล",IF(AI9&lt;-2,"เตี้ย",IF(AI9&lt;-1.5,"ค่อนข้างเตี้ย",IF(AI9&lt;=1.5,"ตามเกณฑ์",IF(AI9&lt;=2,"ค่อนข้างสูง","สูง"))))))</f>
        <v/>
      </c>
      <c r="AG9" s="404">
        <f>IF(OR($B9="",AB9="",AC9="",'ข้อมูลนักเรียน'!$S9=""),"",IFERROR(DATEDIF('ข้อมูลนักเรียน'!$S9,DATE('ข้อมูลโรงเรียน'!$C$12-543,8,IF($AD$6="",15,$AD$6)),"m"),""))</f>
        <v/>
      </c>
      <c r="AH9" s="404">
        <f>IF(AG9="","",IF(OR(AG9&lt;24,AG9&gt;71,AC9&lt;65,AC9&gt;120,(IF('ข้อมูลนักเรียน'!$D9="ด.ช.",0,IF('ข้อมูลนักเรียน'!$D9="ด.ญ.",3,-99)))&lt;0),"",IFERROR(((AB9/INDEX('เกณฑ์WHO'!$B$2:$G$112,MATCH(ROUND(AC9*2,0)/2,'เกณฑ์WHO'!$A$2:$A$112,0),2+(IF('ข้อมูลนักเรียน'!$D9="ด.ช.",0,IF('ข้อมูลนักเรียน'!$D9="ด.ญ.",3,-99)))))^INDEX('เกณฑ์WHO'!$B$2:$G$112,MATCH(ROUND(AC9*2,0)/2,'เกณฑ์WHO'!$A$2:$A$112,0),1+(IF('ข้อมูลนักเรียน'!$D9="ด.ช.",0,IF('ข้อมูลนักเรียน'!$D9="ด.ญ.",3,-99))))-1)/(INDEX('เกณฑ์WHO'!$B$2:$G$112,MATCH(ROUND(AC9*2,0)/2,'เกณฑ์WHO'!$A$2:$A$112,0),1+(IF('ข้อมูลนักเรียน'!$D9="ด.ช.",0,IF('ข้อมูลนักเรียน'!$D9="ด.ญ.",3,-99))))*INDEX('เกณฑ์WHO'!$B$2:$G$112,MATCH(ROUND(AC9*2,0)/2,'เกณฑ์WHO'!$A$2:$A$112,0),3+(IF('ข้อมูลนักเรียน'!$D9="ด.ช.",0,IF('ข้อมูลนักเรียน'!$D9="ด.ญ.",3,-99))))),"")))</f>
        <v/>
      </c>
      <c r="AI9" s="404">
        <f>IF(AG9="","",IF(OR(AG9&lt;24,AG9&gt;71,(IF('ข้อมูลนักเรียน'!$D9="ด.ช.",0,IF('ข้อมูลนักเรียน'!$D9="ด.ญ.",2,-99)))&lt;0),"",IFERROR((AC9/INDEX('เกณฑ์WHO'!$J$2:$M$61,MATCH(AG9,'เกณฑ์WHO'!$I$2:$I$61,0),1+(IF('ข้อมูลนักเรียน'!$D9="ด.ช.",0,IF('ข้อมูลนักเรียน'!$D9="ด.ญ.",2,-99))))-1)/INDEX('เกณฑ์WHO'!$J$2:$M$61,MATCH(AG9,'เกณฑ์WHO'!$I$2:$I$61,0),2+(IF('ข้อมูลนักเรียน'!$D9="ด.ช.",0,IF('ข้อมูลนักเรียน'!$D9="ด.ญ.",2,-99)))),"")))</f>
        <v/>
      </c>
      <c r="AJ9" s="401" t="n"/>
      <c r="AK9" s="402" t="n"/>
      <c r="AL9" s="403">
        <f>IF(OR(AJ9="",AK9=""),"",ROUND(AJ9/(AK9/100)^2,1))</f>
        <v/>
      </c>
      <c r="AM9" s="232">
        <f>IF(OR($B9="",AJ9="",AK9=""),"",IF(AP9="","ตรวจสอบข้อมูล",IF(AP9&lt;-2,"ผอม",IF(AP9&lt;-1.5,"ค่อนข้างผอม",IF(AP9&lt;=1.5,"สมส่วน",IF(AP9&lt;=2,"ท้วม",IF(AP9&lt;=3,"เริ่มอ้วน","อ้วน")))))))</f>
        <v/>
      </c>
      <c r="AN9" s="232">
        <f>IF(OR($B9="",AJ9="",AK9=""),"",IF(AQ9="","ตรวจสอบข้อมูล",IF(AQ9&lt;-2,"เตี้ย",IF(AQ9&lt;-1.5,"ค่อนข้างเตี้ย",IF(AQ9&lt;=1.5,"ตามเกณฑ์",IF(AQ9&lt;=2,"ค่อนข้างสูง","สูง"))))))</f>
        <v/>
      </c>
      <c r="AO9" s="404">
        <f>IF(OR($B9="",AJ9="",AK9="",'ข้อมูลนักเรียน'!$S9=""),"",IFERROR(DATEDIF('ข้อมูลนักเรียน'!$S9,DATE('ข้อมูลโรงเรียน'!$C$12-543,9,IF($AL$6="",15,$AL$6)),"m"),""))</f>
        <v/>
      </c>
      <c r="AP9" s="404">
        <f>IF(AO9="","",IF(OR(AO9&lt;24,AO9&gt;71,AK9&lt;65,AK9&gt;120,(IF('ข้อมูลนักเรียน'!$D9="ด.ช.",0,IF('ข้อมูลนักเรียน'!$D9="ด.ญ.",3,-99)))&lt;0),"",IFERROR(((AJ9/INDEX('เกณฑ์WHO'!$B$2:$G$112,MATCH(ROUND(AK9*2,0)/2,'เกณฑ์WHO'!$A$2:$A$112,0),2+(IF('ข้อมูลนักเรียน'!$D9="ด.ช.",0,IF('ข้อมูลนักเรียน'!$D9="ด.ญ.",3,-99)))))^INDEX('เกณฑ์WHO'!$B$2:$G$112,MATCH(ROUND(AK9*2,0)/2,'เกณฑ์WHO'!$A$2:$A$112,0),1+(IF('ข้อมูลนักเรียน'!$D9="ด.ช.",0,IF('ข้อมูลนักเรียน'!$D9="ด.ญ.",3,-99))))-1)/(INDEX('เกณฑ์WHO'!$B$2:$G$112,MATCH(ROUND(AK9*2,0)/2,'เกณฑ์WHO'!$A$2:$A$112,0),1+(IF('ข้อมูลนักเรียน'!$D9="ด.ช.",0,IF('ข้อมูลนักเรียน'!$D9="ด.ญ.",3,-99))))*INDEX('เกณฑ์WHO'!$B$2:$G$112,MATCH(ROUND(AK9*2,0)/2,'เกณฑ์WHO'!$A$2:$A$112,0),3+(IF('ข้อมูลนักเรียน'!$D9="ด.ช.",0,IF('ข้อมูลนักเรียน'!$D9="ด.ญ.",3,-99))))),"")))</f>
        <v/>
      </c>
      <c r="AQ9" s="404">
        <f>IF(AO9="","",IF(OR(AO9&lt;24,AO9&gt;71,(IF('ข้อมูลนักเรียน'!$D9="ด.ช.",0,IF('ข้อมูลนักเรียน'!$D9="ด.ญ.",2,-99)))&lt;0),"",IFERROR((AK9/INDEX('เกณฑ์WHO'!$J$2:$M$61,MATCH(AO9,'เกณฑ์WHO'!$I$2:$I$61,0),1+(IF('ข้อมูลนักเรียน'!$D9="ด.ช.",0,IF('ข้อมูลนักเรียน'!$D9="ด.ญ.",2,-99))))-1)/INDEX('เกณฑ์WHO'!$J$2:$M$61,MATCH(AO9,'เกณฑ์WHO'!$I$2:$I$61,0),2+(IF('ข้อมูลนักเรียน'!$D9="ด.ช.",0,IF('ข้อมูลนักเรียน'!$D9="ด.ญ.",2,-99)))),"")))</f>
        <v/>
      </c>
      <c r="AR9" s="401" t="n"/>
      <c r="AS9" s="402" t="n"/>
      <c r="AT9" s="403">
        <f>IF(OR(AR9="",AS9=""),"",ROUND(AR9/(AS9/100)^2,1))</f>
        <v/>
      </c>
      <c r="AU9" s="232">
        <f>IF(OR($B9="",AR9="",AS9=""),"",IF(AX9="","ตรวจสอบข้อมูล",IF(AX9&lt;-2,"ผอม",IF(AX9&lt;-1.5,"ค่อนข้างผอม",IF(AX9&lt;=1.5,"สมส่วน",IF(AX9&lt;=2,"ท้วม",IF(AX9&lt;=3,"เริ่มอ้วน","อ้วน")))))))</f>
        <v/>
      </c>
      <c r="AV9" s="232">
        <f>IF(OR($B9="",AR9="",AS9=""),"",IF(AY9="","ตรวจสอบข้อมูล",IF(AY9&lt;-2,"เตี้ย",IF(AY9&lt;-1.5,"ค่อนข้างเตี้ย",IF(AY9&lt;=1.5,"ตามเกณฑ์",IF(AY9&lt;=2,"ค่อนข้างสูง","สูง"))))))</f>
        <v/>
      </c>
      <c r="AW9" s="404">
        <f>IF(OR($B9="",AR9="",AS9="",'ข้อมูลนักเรียน'!$S9=""),"",IFERROR(DATEDIF('ข้อมูลนักเรียน'!$S9,DATE('ข้อมูลโรงเรียน'!$C$12-543,10,IF($AT$6="",15,$AT$6)),"m"),""))</f>
        <v/>
      </c>
      <c r="AX9" s="404">
        <f>IF(AW9="","",IF(OR(AW9&lt;24,AW9&gt;71,AS9&lt;65,AS9&gt;120,(IF('ข้อมูลนักเรียน'!$D9="ด.ช.",0,IF('ข้อมูลนักเรียน'!$D9="ด.ญ.",3,-99)))&lt;0),"",IFERROR(((AR9/INDEX('เกณฑ์WHO'!$B$2:$G$112,MATCH(ROUND(AS9*2,0)/2,'เกณฑ์WHO'!$A$2:$A$112,0),2+(IF('ข้อมูลนักเรียน'!$D9="ด.ช.",0,IF('ข้อมูลนักเรียน'!$D9="ด.ญ.",3,-99)))))^INDEX('เกณฑ์WHO'!$B$2:$G$112,MATCH(ROUND(AS9*2,0)/2,'เกณฑ์WHO'!$A$2:$A$112,0),1+(IF('ข้อมูลนักเรียน'!$D9="ด.ช.",0,IF('ข้อมูลนักเรียน'!$D9="ด.ญ.",3,-99))))-1)/(INDEX('เกณฑ์WHO'!$B$2:$G$112,MATCH(ROUND(AS9*2,0)/2,'เกณฑ์WHO'!$A$2:$A$112,0),1+(IF('ข้อมูลนักเรียน'!$D9="ด.ช.",0,IF('ข้อมูลนักเรียน'!$D9="ด.ญ.",3,-99))))*INDEX('เกณฑ์WHO'!$B$2:$G$112,MATCH(ROUND(AS9*2,0)/2,'เกณฑ์WHO'!$A$2:$A$112,0),3+(IF('ข้อมูลนักเรียน'!$D9="ด.ช.",0,IF('ข้อมูลนักเรียน'!$D9="ด.ญ.",3,-99))))),"")))</f>
        <v/>
      </c>
      <c r="AY9" s="404">
        <f>IF(AW9="","",IF(OR(AW9&lt;24,AW9&gt;71,(IF('ข้อมูลนักเรียน'!$D9="ด.ช.",0,IF('ข้อมูลนักเรียน'!$D9="ด.ญ.",2,-99)))&lt;0),"",IFERROR((AS9/INDEX('เกณฑ์WHO'!$J$2:$M$61,MATCH(AW9,'เกณฑ์WHO'!$I$2:$I$61,0),1+(IF('ข้อมูลนักเรียน'!$D9="ด.ช.",0,IF('ข้อมูลนักเรียน'!$D9="ด.ญ.",2,-99))))-1)/INDEX('เกณฑ์WHO'!$J$2:$M$61,MATCH(AW9,'เกณฑ์WHO'!$I$2:$I$61,0),2+(IF('ข้อมูลนักเรียน'!$D9="ด.ช.",0,IF('ข้อมูลนักเรียน'!$D9="ด.ญ.",2,-99)))),"")))</f>
        <v/>
      </c>
      <c r="AZ9" s="401" t="n"/>
      <c r="BA9" s="402" t="n"/>
      <c r="BB9" s="403">
        <f>IF(OR(AZ9="",BA9=""),"",ROUND(AZ9/(BA9/100)^2,1))</f>
        <v/>
      </c>
      <c r="BC9" s="232">
        <f>IF(OR($B9="",AZ9="",BA9=""),"",IF(BF9="","ตรวจสอบข้อมูล",IF(BF9&lt;-2,"ผอม",IF(BF9&lt;-1.5,"ค่อนข้างผอม",IF(BF9&lt;=1.5,"สมส่วน",IF(BF9&lt;=2,"ท้วม",IF(BF9&lt;=3,"เริ่มอ้วน","อ้วน")))))))</f>
        <v/>
      </c>
      <c r="BD9" s="232">
        <f>IF(OR($B9="",AZ9="",BA9=""),"",IF(BG9="","ตรวจสอบข้อมูล",IF(BG9&lt;-2,"เตี้ย",IF(BG9&lt;-1.5,"ค่อนข้างเตี้ย",IF(BG9&lt;=1.5,"ตามเกณฑ์",IF(BG9&lt;=2,"ค่อนข้างสูง","สูง"))))))</f>
        <v/>
      </c>
      <c r="BE9" s="404">
        <f>IF(OR($B9="",AZ9="",BA9="",'ข้อมูลนักเรียน'!$S9=""),"",IFERROR(DATEDIF('ข้อมูลนักเรียน'!$S9,DATE('ข้อมูลโรงเรียน'!$C$12-543,11,IF($BB$6="",15,$BB$6)),"m"),""))</f>
        <v/>
      </c>
      <c r="BF9" s="404">
        <f>IF(BE9="","",IF(OR(BE9&lt;24,BE9&gt;71,BA9&lt;65,BA9&gt;120,(IF('ข้อมูลนักเรียน'!$D9="ด.ช.",0,IF('ข้อมูลนักเรียน'!$D9="ด.ญ.",3,-99)))&lt;0),"",IFERROR(((AZ9/INDEX('เกณฑ์WHO'!$B$2:$G$112,MATCH(ROUND(BA9*2,0)/2,'เกณฑ์WHO'!$A$2:$A$112,0),2+(IF('ข้อมูลนักเรียน'!$D9="ด.ช.",0,IF('ข้อมูลนักเรียน'!$D9="ด.ญ.",3,-99)))))^INDEX('เกณฑ์WHO'!$B$2:$G$112,MATCH(ROUND(BA9*2,0)/2,'เกณฑ์WHO'!$A$2:$A$112,0),1+(IF('ข้อมูลนักเรียน'!$D9="ด.ช.",0,IF('ข้อมูลนักเรียน'!$D9="ด.ญ.",3,-99))))-1)/(INDEX('เกณฑ์WHO'!$B$2:$G$112,MATCH(ROUND(BA9*2,0)/2,'เกณฑ์WHO'!$A$2:$A$112,0),1+(IF('ข้อมูลนักเรียน'!$D9="ด.ช.",0,IF('ข้อมูลนักเรียน'!$D9="ด.ญ.",3,-99))))*INDEX('เกณฑ์WHO'!$B$2:$G$112,MATCH(ROUND(BA9*2,0)/2,'เกณฑ์WHO'!$A$2:$A$112,0),3+(IF('ข้อมูลนักเรียน'!$D9="ด.ช.",0,IF('ข้อมูลนักเรียน'!$D9="ด.ญ.",3,-99))))),"")))</f>
        <v/>
      </c>
      <c r="BG9" s="404">
        <f>IF(BE9="","",IF(OR(BE9&lt;24,BE9&gt;71,(IF('ข้อมูลนักเรียน'!$D9="ด.ช.",0,IF('ข้อมูลนักเรียน'!$D9="ด.ญ.",2,-99)))&lt;0),"",IFERROR((BA9/INDEX('เกณฑ์WHO'!$J$2:$M$61,MATCH(BE9,'เกณฑ์WHO'!$I$2:$I$61,0),1+(IF('ข้อมูลนักเรียน'!$D9="ด.ช.",0,IF('ข้อมูลนักเรียน'!$D9="ด.ญ.",2,-99))))-1)/INDEX('เกณฑ์WHO'!$J$2:$M$61,MATCH(BE9,'เกณฑ์WHO'!$I$2:$I$61,0),2+(IF('ข้อมูลนักเรียน'!$D9="ด.ช.",0,IF('ข้อมูลนักเรียน'!$D9="ด.ญ.",2,-99)))),"")))</f>
        <v/>
      </c>
      <c r="BH9" s="401" t="n"/>
      <c r="BI9" s="402" t="n"/>
      <c r="BJ9" s="403">
        <f>IF(OR(BH9="",BI9=""),"",ROUND(BH9/(BI9/100)^2,1))</f>
        <v/>
      </c>
      <c r="BK9" s="232">
        <f>IF(OR($B9="",BH9="",BI9=""),"",IF(BN9="","ตรวจสอบข้อมูล",IF(BN9&lt;-2,"ผอม",IF(BN9&lt;-1.5,"ค่อนข้างผอม",IF(BN9&lt;=1.5,"สมส่วน",IF(BN9&lt;=2,"ท้วม",IF(BN9&lt;=3,"เริ่มอ้วน","อ้วน")))))))</f>
        <v/>
      </c>
      <c r="BL9" s="232">
        <f>IF(OR($B9="",BH9="",BI9=""),"",IF(BO9="","ตรวจสอบข้อมูล",IF(BO9&lt;-2,"เตี้ย",IF(BO9&lt;-1.5,"ค่อนข้างเตี้ย",IF(BO9&lt;=1.5,"ตามเกณฑ์",IF(BO9&lt;=2,"ค่อนข้างสูง","สูง"))))))</f>
        <v/>
      </c>
      <c r="BM9" s="404">
        <f>IF(OR($B9="",BH9="",BI9="",'ข้อมูลนักเรียน'!$S9=""),"",IFERROR(DATEDIF('ข้อมูลนักเรียน'!$S9,DATE('ข้อมูลโรงเรียน'!$C$12-543,12,IF($BJ$6="",15,$BJ$6)),"m"),""))</f>
        <v/>
      </c>
      <c r="BN9" s="404">
        <f>IF(BM9="","",IF(OR(BM9&lt;24,BM9&gt;71,BI9&lt;65,BI9&gt;120,(IF('ข้อมูลนักเรียน'!$D9="ด.ช.",0,IF('ข้อมูลนักเรียน'!$D9="ด.ญ.",3,-99)))&lt;0),"",IFERROR(((BH9/INDEX('เกณฑ์WHO'!$B$2:$G$112,MATCH(ROUND(BI9*2,0)/2,'เกณฑ์WHO'!$A$2:$A$112,0),2+(IF('ข้อมูลนักเรียน'!$D9="ด.ช.",0,IF('ข้อมูลนักเรียน'!$D9="ด.ญ.",3,-99)))))^INDEX('เกณฑ์WHO'!$B$2:$G$112,MATCH(ROUND(BI9*2,0)/2,'เกณฑ์WHO'!$A$2:$A$112,0),1+(IF('ข้อมูลนักเรียน'!$D9="ด.ช.",0,IF('ข้อมูลนักเรียน'!$D9="ด.ญ.",3,-99))))-1)/(INDEX('เกณฑ์WHO'!$B$2:$G$112,MATCH(ROUND(BI9*2,0)/2,'เกณฑ์WHO'!$A$2:$A$112,0),1+(IF('ข้อมูลนักเรียน'!$D9="ด.ช.",0,IF('ข้อมูลนักเรียน'!$D9="ด.ญ.",3,-99))))*INDEX('เกณฑ์WHO'!$B$2:$G$112,MATCH(ROUND(BI9*2,0)/2,'เกณฑ์WHO'!$A$2:$A$112,0),3+(IF('ข้อมูลนักเรียน'!$D9="ด.ช.",0,IF('ข้อมูลนักเรียน'!$D9="ด.ญ.",3,-99))))),"")))</f>
        <v/>
      </c>
      <c r="BO9" s="404">
        <f>IF(BM9="","",IF(OR(BM9&lt;24,BM9&gt;71,(IF('ข้อมูลนักเรียน'!$D9="ด.ช.",0,IF('ข้อมูลนักเรียน'!$D9="ด.ญ.",2,-99)))&lt;0),"",IFERROR((BI9/INDEX('เกณฑ์WHO'!$J$2:$M$61,MATCH(BM9,'เกณฑ์WHO'!$I$2:$I$61,0),1+(IF('ข้อมูลนักเรียน'!$D9="ด.ช.",0,IF('ข้อมูลนักเรียน'!$D9="ด.ญ.",2,-99))))-1)/INDEX('เกณฑ์WHO'!$J$2:$M$61,MATCH(BM9,'เกณฑ์WHO'!$I$2:$I$61,0),2+(IF('ข้อมูลนักเรียน'!$D9="ด.ช.",0,IF('ข้อมูลนักเรียน'!$D9="ด.ญ.",2,-99)))),"")))</f>
        <v/>
      </c>
      <c r="BP9" s="401" t="n"/>
      <c r="BQ9" s="402" t="n"/>
      <c r="BR9" s="403">
        <f>IF(OR(BP9="",BQ9=""),"",ROUND(BP9/(BQ9/100)^2,1))</f>
        <v/>
      </c>
      <c r="BS9" s="232">
        <f>IF(OR($B9="",BP9="",BQ9=""),"",IF(BV9="","ตรวจสอบข้อมูล",IF(BV9&lt;-2,"ผอม",IF(BV9&lt;-1.5,"ค่อนข้างผอม",IF(BV9&lt;=1.5,"สมส่วน",IF(BV9&lt;=2,"ท้วม",IF(BV9&lt;=3,"เริ่มอ้วน","อ้วน")))))))</f>
        <v/>
      </c>
      <c r="BT9" s="232">
        <f>IF(OR($B9="",BP9="",BQ9=""),"",IF(BW9="","ตรวจสอบข้อมูล",IF(BW9&lt;-2,"เตี้ย",IF(BW9&lt;-1.5,"ค่อนข้างเตี้ย",IF(BW9&lt;=1.5,"ตามเกณฑ์",IF(BW9&lt;=2,"ค่อนข้างสูง","สูง"))))))</f>
        <v/>
      </c>
      <c r="BU9" s="404">
        <f>IF(OR($B9="",BP9="",BQ9="",'ข้อมูลนักเรียน'!$S9=""),"",IFERROR(DATEDIF('ข้อมูลนักเรียน'!$S9,DATE('ข้อมูลโรงเรียน'!$C$12-542,1,IF($BR$6="",15,$BR$6)),"m"),""))</f>
        <v/>
      </c>
      <c r="BV9" s="404">
        <f>IF(BU9="","",IF(OR(BU9&lt;24,BU9&gt;71,BQ9&lt;65,BQ9&gt;120,(IF('ข้อมูลนักเรียน'!$D9="ด.ช.",0,IF('ข้อมูลนักเรียน'!$D9="ด.ญ.",3,-99)))&lt;0),"",IFERROR(((BP9/INDEX('เกณฑ์WHO'!$B$2:$G$112,MATCH(ROUND(BQ9*2,0)/2,'เกณฑ์WHO'!$A$2:$A$112,0),2+(IF('ข้อมูลนักเรียน'!$D9="ด.ช.",0,IF('ข้อมูลนักเรียน'!$D9="ด.ญ.",3,-99)))))^INDEX('เกณฑ์WHO'!$B$2:$G$112,MATCH(ROUND(BQ9*2,0)/2,'เกณฑ์WHO'!$A$2:$A$112,0),1+(IF('ข้อมูลนักเรียน'!$D9="ด.ช.",0,IF('ข้อมูลนักเรียน'!$D9="ด.ญ.",3,-99))))-1)/(INDEX('เกณฑ์WHO'!$B$2:$G$112,MATCH(ROUND(BQ9*2,0)/2,'เกณฑ์WHO'!$A$2:$A$112,0),1+(IF('ข้อมูลนักเรียน'!$D9="ด.ช.",0,IF('ข้อมูลนักเรียน'!$D9="ด.ญ.",3,-99))))*INDEX('เกณฑ์WHO'!$B$2:$G$112,MATCH(ROUND(BQ9*2,0)/2,'เกณฑ์WHO'!$A$2:$A$112,0),3+(IF('ข้อมูลนักเรียน'!$D9="ด.ช.",0,IF('ข้อมูลนักเรียน'!$D9="ด.ญ.",3,-99))))),"")))</f>
        <v/>
      </c>
      <c r="BW9" s="404">
        <f>IF(BU9="","",IF(OR(BU9&lt;24,BU9&gt;71,(IF('ข้อมูลนักเรียน'!$D9="ด.ช.",0,IF('ข้อมูลนักเรียน'!$D9="ด.ญ.",2,-99)))&lt;0),"",IFERROR((BQ9/INDEX('เกณฑ์WHO'!$J$2:$M$61,MATCH(BU9,'เกณฑ์WHO'!$I$2:$I$61,0),1+(IF('ข้อมูลนักเรียน'!$D9="ด.ช.",0,IF('ข้อมูลนักเรียน'!$D9="ด.ญ.",2,-99))))-1)/INDEX('เกณฑ์WHO'!$J$2:$M$61,MATCH(BU9,'เกณฑ์WHO'!$I$2:$I$61,0),2+(IF('ข้อมูลนักเรียน'!$D9="ด.ช.",0,IF('ข้อมูลนักเรียน'!$D9="ด.ญ.",2,-99)))),"")))</f>
        <v/>
      </c>
      <c r="BX9" s="401" t="n"/>
      <c r="BY9" s="402" t="n"/>
      <c r="BZ9" s="403">
        <f>IF(OR(BX9="",BY9=""),"",ROUND(BX9/(BY9/100)^2,1))</f>
        <v/>
      </c>
      <c r="CA9" s="232">
        <f>IF(OR($B9="",BX9="",BY9=""),"",IF(CD9="","ตรวจสอบข้อมูล",IF(CD9&lt;-2,"ผอม",IF(CD9&lt;-1.5,"ค่อนข้างผอม",IF(CD9&lt;=1.5,"สมส่วน",IF(CD9&lt;=2,"ท้วม",IF(CD9&lt;=3,"เริ่มอ้วน","อ้วน")))))))</f>
        <v/>
      </c>
      <c r="CB9" s="232">
        <f>IF(OR($B9="",BX9="",BY9=""),"",IF(CE9="","ตรวจสอบข้อมูล",IF(CE9&lt;-2,"เตี้ย",IF(CE9&lt;-1.5,"ค่อนข้างเตี้ย",IF(CE9&lt;=1.5,"ตามเกณฑ์",IF(CE9&lt;=2,"ค่อนข้างสูง","สูง"))))))</f>
        <v/>
      </c>
      <c r="CC9" s="404">
        <f>IF(OR($B9="",BX9="",BY9="",'ข้อมูลนักเรียน'!$S9=""),"",IFERROR(DATEDIF('ข้อมูลนักเรียน'!$S9,DATE('ข้อมูลโรงเรียน'!$C$12-542,2,IF($BZ$6="",15,$BZ$6)),"m"),""))</f>
        <v/>
      </c>
      <c r="CD9" s="404">
        <f>IF(CC9="","",IF(OR(CC9&lt;24,CC9&gt;71,BY9&lt;65,BY9&gt;120,(IF('ข้อมูลนักเรียน'!$D9="ด.ช.",0,IF('ข้อมูลนักเรียน'!$D9="ด.ญ.",3,-99)))&lt;0),"",IFERROR(((BX9/INDEX('เกณฑ์WHO'!$B$2:$G$112,MATCH(ROUND(BY9*2,0)/2,'เกณฑ์WHO'!$A$2:$A$112,0),2+(IF('ข้อมูลนักเรียน'!$D9="ด.ช.",0,IF('ข้อมูลนักเรียน'!$D9="ด.ญ.",3,-99)))))^INDEX('เกณฑ์WHO'!$B$2:$G$112,MATCH(ROUND(BY9*2,0)/2,'เกณฑ์WHO'!$A$2:$A$112,0),1+(IF('ข้อมูลนักเรียน'!$D9="ด.ช.",0,IF('ข้อมูลนักเรียน'!$D9="ด.ญ.",3,-99))))-1)/(INDEX('เกณฑ์WHO'!$B$2:$G$112,MATCH(ROUND(BY9*2,0)/2,'เกณฑ์WHO'!$A$2:$A$112,0),1+(IF('ข้อมูลนักเรียน'!$D9="ด.ช.",0,IF('ข้อมูลนักเรียน'!$D9="ด.ญ.",3,-99))))*INDEX('เกณฑ์WHO'!$B$2:$G$112,MATCH(ROUND(BY9*2,0)/2,'เกณฑ์WHO'!$A$2:$A$112,0),3+(IF('ข้อมูลนักเรียน'!$D9="ด.ช.",0,IF('ข้อมูลนักเรียน'!$D9="ด.ญ.",3,-99))))),"")))</f>
        <v/>
      </c>
      <c r="CE9" s="404">
        <f>IF(CC9="","",IF(OR(CC9&lt;24,CC9&gt;71,(IF('ข้อมูลนักเรียน'!$D9="ด.ช.",0,IF('ข้อมูลนักเรียน'!$D9="ด.ญ.",2,-99)))&lt;0),"",IFERROR((BY9/INDEX('เกณฑ์WHO'!$J$2:$M$61,MATCH(CC9,'เกณฑ์WHO'!$I$2:$I$61,0),1+(IF('ข้อมูลนักเรียน'!$D9="ด.ช.",0,IF('ข้อมูลนักเรียน'!$D9="ด.ญ.",2,-99))))-1)/INDEX('เกณฑ์WHO'!$J$2:$M$61,MATCH(CC9,'เกณฑ์WHO'!$I$2:$I$61,0),2+(IF('ข้อมูลนักเรียน'!$D9="ด.ช.",0,IF('ข้อมูลนักเรียน'!$D9="ด.ญ.",2,-99)))),"")))</f>
        <v/>
      </c>
      <c r="CF9" s="401" t="n"/>
      <c r="CG9" s="402" t="n"/>
      <c r="CH9" s="403">
        <f>IF(OR(CF9="",CG9=""),"",ROUND(CF9/(CG9/100)^2,1))</f>
        <v/>
      </c>
      <c r="CI9" s="232">
        <f>IF(OR($B9="",CF9="",CG9=""),"",IF(CL9="","ตรวจสอบข้อมูล",IF(CL9&lt;-2,"ผอม",IF(CL9&lt;-1.5,"ค่อนข้างผอม",IF(CL9&lt;=1.5,"สมส่วน",IF(CL9&lt;=2,"ท้วม",IF(CL9&lt;=3,"เริ่มอ้วน","อ้วน")))))))</f>
        <v/>
      </c>
      <c r="CJ9" s="232">
        <f>IF(OR($B9="",CF9="",CG9=""),"",IF(CM9="","ตรวจสอบข้อมูล",IF(CM9&lt;-2,"เตี้ย",IF(CM9&lt;-1.5,"ค่อนข้างเตี้ย",IF(CM9&lt;=1.5,"ตามเกณฑ์",IF(CM9&lt;=2,"ค่อนข้างสูง","สูง"))))))</f>
        <v/>
      </c>
      <c r="CK9" s="404">
        <f>IF(OR($B9="",CF9="",CG9="",'ข้อมูลนักเรียน'!$S9=""),"",IFERROR(DATEDIF('ข้อมูลนักเรียน'!$S9,DATE('ข้อมูลโรงเรียน'!$C$12-542,3,IF($CH$6="",15,$CH$6)),"m"),""))</f>
        <v/>
      </c>
      <c r="CL9" s="404">
        <f>IF(CK9="","",IF(OR(CK9&lt;24,CK9&gt;71,CG9&lt;65,CG9&gt;120,(IF('ข้อมูลนักเรียน'!$D9="ด.ช.",0,IF('ข้อมูลนักเรียน'!$D9="ด.ญ.",3,-99)))&lt;0),"",IFERROR(((CF9/INDEX('เกณฑ์WHO'!$B$2:$G$112,MATCH(ROUND(CG9*2,0)/2,'เกณฑ์WHO'!$A$2:$A$112,0),2+(IF('ข้อมูลนักเรียน'!$D9="ด.ช.",0,IF('ข้อมูลนักเรียน'!$D9="ด.ญ.",3,-99)))))^INDEX('เกณฑ์WHO'!$B$2:$G$112,MATCH(ROUND(CG9*2,0)/2,'เกณฑ์WHO'!$A$2:$A$112,0),1+(IF('ข้อมูลนักเรียน'!$D9="ด.ช.",0,IF('ข้อมูลนักเรียน'!$D9="ด.ญ.",3,-99))))-1)/(INDEX('เกณฑ์WHO'!$B$2:$G$112,MATCH(ROUND(CG9*2,0)/2,'เกณฑ์WHO'!$A$2:$A$112,0),1+(IF('ข้อมูลนักเรียน'!$D9="ด.ช.",0,IF('ข้อมูลนักเรียน'!$D9="ด.ญ.",3,-99))))*INDEX('เกณฑ์WHO'!$B$2:$G$112,MATCH(ROUND(CG9*2,0)/2,'เกณฑ์WHO'!$A$2:$A$112,0),3+(IF('ข้อมูลนักเรียน'!$D9="ด.ช.",0,IF('ข้อมูลนักเรียน'!$D9="ด.ญ.",3,-99))))),"")))</f>
        <v/>
      </c>
      <c r="CM9" s="404">
        <f>IF(CK9="","",IF(OR(CK9&lt;24,CK9&gt;71,(IF('ข้อมูลนักเรียน'!$D9="ด.ช.",0,IF('ข้อมูลนักเรียน'!$D9="ด.ญ.",2,-99)))&lt;0),"",IFERROR((CG9/INDEX('เกณฑ์WHO'!$J$2:$M$61,MATCH(CK9,'เกณฑ์WHO'!$I$2:$I$61,0),1+(IF('ข้อมูลนักเรียน'!$D9="ด.ช.",0,IF('ข้อมูลนักเรียน'!$D9="ด.ญ.",2,-99))))-1)/INDEX('เกณฑ์WHO'!$J$2:$M$61,MATCH(CK9,'เกณฑ์WHO'!$I$2:$I$61,0),2+(IF('ข้อมูลนักเรียน'!$D9="ด.ช.",0,IF('ข้อมูลนักเรียน'!$D9="ด.ญ.",2,-99)))),"")))</f>
        <v/>
      </c>
      <c r="CO9">
        <f>IF(N(AR9)&gt;0,AR9,IF(N(AJ9)&gt;0,AJ9,IF(N(AB9)&gt;0,AB9,IF(N(T9)&gt;0,T9,IF(N(L9)&gt;0,L9,IF(N(D9)&gt;0,D9,""))))))</f>
        <v/>
      </c>
      <c r="CP9">
        <f>IF(N(AR9)&gt;0,AS9,IF(N(AJ9)&gt;0,AK9,IF(N(AB9)&gt;0,AC9,IF(N(T9)&gt;0,U9,IF(N(L9)&gt;0,M9,IF(N(D9)&gt;0,E9,""))))))</f>
        <v/>
      </c>
      <c r="CQ9">
        <f>IF(N(AR9)&gt;0,AU9,IF(N(AJ9)&gt;0,AM9,IF(N(AB9)&gt;0,AE9,IF(N(T9)&gt;0,W9,IF(N(L9)&gt;0,O9,IF(N(D9)&gt;0,G9,""))))))</f>
        <v/>
      </c>
      <c r="CR9">
        <f>IF(N(AR9)&gt;0,AV9,IF(N(AJ9)&gt;0,AN9,IF(N(AB9)&gt;0,AF9,IF(N(T9)&gt;0,X9,IF(N(L9)&gt;0,P9,IF(N(D9)&gt;0,H9,""))))))</f>
        <v/>
      </c>
      <c r="CS9">
        <f>IF(N(AR9)&gt;0,"ตุลาคม",IF(N(AJ9)&gt;0,"กันยายน",IF(N(AB9)&gt;0,"สิงหาคม",IF(N(T9)&gt;0,"กรกฎาคม",IF(N(L9)&gt;0,"มิถุนายน",IF(N(D9)&gt;0,"พฤษภาคม",""))))))</f>
        <v/>
      </c>
      <c r="CT9">
        <f>IF(N(CF9)&gt;0,CF9,IF(N(BX9)&gt;0,BX9,IF(N(BP9)&gt;0,BP9,IF(N(BH9)&gt;0,BH9,IF(N(AZ9)&gt;0,AZ9,"")))))</f>
        <v/>
      </c>
      <c r="CU9">
        <f>IF(N(CF9)&gt;0,CG9,IF(N(BX9)&gt;0,BY9,IF(N(BP9)&gt;0,BQ9,IF(N(BH9)&gt;0,BI9,IF(N(AZ9)&gt;0,BA9,"")))))</f>
        <v/>
      </c>
      <c r="CV9">
        <f>IF(N(CF9)&gt;0,CI9,IF(N(BX9)&gt;0,CA9,IF(N(BP9)&gt;0,BS9,IF(N(BH9)&gt;0,BK9,IF(N(AZ9)&gt;0,BC9,"")))))</f>
        <v/>
      </c>
      <c r="CW9">
        <f>IF(N(CF9)&gt;0,CJ9,IF(N(BX9)&gt;0,CB9,IF(N(BP9)&gt;0,BT9,IF(N(BH9)&gt;0,BL9,IF(N(AZ9)&gt;0,BD9,"")))))</f>
        <v/>
      </c>
      <c r="CX9">
        <f>IF(N(CF9)&gt;0,"มีนาคม",IF(N(BX9)&gt;0,"กุมภาพันธ์",IF(N(BP9)&gt;0,"มกราคม",IF(N(BH9)&gt;0,"ธันวาคม",IF(N(AZ9)&gt;0,"พฤศจิกายน","")))))</f>
        <v/>
      </c>
    </row>
    <row r="10">
      <c r="A10" s="226" t="n">
        <v>2</v>
      </c>
      <c r="B10" s="227">
        <f>'ข้อมูลนักเรียน'!T10</f>
        <v/>
      </c>
      <c r="C10" s="400">
        <f>IF(B10="","",IF('ข้อมูลนักเรียน'!D10="ด.ช.","ชาย",IF('ข้อมูลนักเรียน'!D10="ด.ญ.","หญิง",""))&amp;CHAR(10)&amp;'ข้อมูลนักเรียน'!K10)</f>
        <v/>
      </c>
      <c r="D10" s="401" t="n"/>
      <c r="E10" s="402" t="n"/>
      <c r="F10" s="403">
        <f>IF(OR(D10="",E10=""),"",ROUND(D10/(E10/100)^2,1))</f>
        <v/>
      </c>
      <c r="G10" s="232">
        <f>IF(OR($B10="",D10="",E10=""),"",IF(J10="","ตรวจสอบข้อมูล",IF(J10&lt;-2,"ผอม",IF(J10&lt;-1.5,"ค่อนข้างผอม",IF(J10&lt;=1.5,"สมส่วน",IF(J10&lt;=2,"ท้วม",IF(J10&lt;=3,"เริ่มอ้วน","อ้วน")))))))</f>
        <v/>
      </c>
      <c r="H10" s="232">
        <f>IF(OR($B10="",D10="",E10=""),"",IF(K10="","ตรวจสอบข้อมูล",IF(K10&lt;-2,"เตี้ย",IF(K10&lt;-1.5,"ค่อนข้างเตี้ย",IF(K10&lt;=1.5,"ตามเกณฑ์",IF(K10&lt;=2,"ค่อนข้างสูง","สูง"))))))</f>
        <v/>
      </c>
      <c r="I10" s="404">
        <f>IF(OR($B10="",D10="",E10="",'ข้อมูลนักเรียน'!$S10=""),"",IFERROR(DATEDIF('ข้อมูลนักเรียน'!$S10,DATE('ข้อมูลโรงเรียน'!$C$12-543,5,IF($F$6="",15,$F$6)),"m"),""))</f>
        <v/>
      </c>
      <c r="J10" s="404">
        <f>IF(I10="","",IF(OR(I10&lt;24,I10&gt;71,E10&lt;65,E10&gt;120,(IF('ข้อมูลนักเรียน'!$D10="ด.ช.",0,IF('ข้อมูลนักเรียน'!$D10="ด.ญ.",3,-99)))&lt;0),"",IFERROR(((D10/INDEX('เกณฑ์WHO'!$B$2:$G$112,MATCH(ROUND(E10*2,0)/2,'เกณฑ์WHO'!$A$2:$A$112,0),2+(IF('ข้อมูลนักเรียน'!$D10="ด.ช.",0,IF('ข้อมูลนักเรียน'!$D10="ด.ญ.",3,-99)))))^INDEX('เกณฑ์WHO'!$B$2:$G$112,MATCH(ROUND(E10*2,0)/2,'เกณฑ์WHO'!$A$2:$A$112,0),1+(IF('ข้อมูลนักเรียน'!$D10="ด.ช.",0,IF('ข้อมูลนักเรียน'!$D10="ด.ญ.",3,-99))))-1)/(INDEX('เกณฑ์WHO'!$B$2:$G$112,MATCH(ROUND(E10*2,0)/2,'เกณฑ์WHO'!$A$2:$A$112,0),1+(IF('ข้อมูลนักเรียน'!$D10="ด.ช.",0,IF('ข้อมูลนักเรียน'!$D10="ด.ญ.",3,-99))))*INDEX('เกณฑ์WHO'!$B$2:$G$112,MATCH(ROUND(E10*2,0)/2,'เกณฑ์WHO'!$A$2:$A$112,0),3+(IF('ข้อมูลนักเรียน'!$D10="ด.ช.",0,IF('ข้อมูลนักเรียน'!$D10="ด.ญ.",3,-99))))),"")))</f>
        <v/>
      </c>
      <c r="K10" s="404">
        <f>IF(I10="","",IF(OR(I10&lt;24,I10&gt;71,(IF('ข้อมูลนักเรียน'!$D10="ด.ช.",0,IF('ข้อมูลนักเรียน'!$D10="ด.ญ.",2,-99)))&lt;0),"",IFERROR((E10/INDEX('เกณฑ์WHO'!$J$2:$M$61,MATCH(I10,'เกณฑ์WHO'!$I$2:$I$61,0),1+(IF('ข้อมูลนักเรียน'!$D10="ด.ช.",0,IF('ข้อมูลนักเรียน'!$D10="ด.ญ.",2,-99))))-1)/INDEX('เกณฑ์WHO'!$J$2:$M$61,MATCH(I10,'เกณฑ์WHO'!$I$2:$I$61,0),2+(IF('ข้อมูลนักเรียน'!$D10="ด.ช.",0,IF('ข้อมูลนักเรียน'!$D10="ด.ญ.",2,-99)))),"")))</f>
        <v/>
      </c>
      <c r="L10" s="401" t="n"/>
      <c r="M10" s="402" t="n"/>
      <c r="N10" s="403">
        <f>IF(OR(L10="",M10=""),"",ROUND(L10/(M10/100)^2,1))</f>
        <v/>
      </c>
      <c r="O10" s="232">
        <f>IF(OR($B10="",L10="",M10=""),"",IF(R10="","ตรวจสอบข้อมูล",IF(R10&lt;-2,"ผอม",IF(R10&lt;-1.5,"ค่อนข้างผอม",IF(R10&lt;=1.5,"สมส่วน",IF(R10&lt;=2,"ท้วม",IF(R10&lt;=3,"เริ่มอ้วน","อ้วน")))))))</f>
        <v/>
      </c>
      <c r="P10" s="232">
        <f>IF(OR($B10="",L10="",M10=""),"",IF(S10="","ตรวจสอบข้อมูล",IF(S10&lt;-2,"เตี้ย",IF(S10&lt;-1.5,"ค่อนข้างเตี้ย",IF(S10&lt;=1.5,"ตามเกณฑ์",IF(S10&lt;=2,"ค่อนข้างสูง","สูง"))))))</f>
        <v/>
      </c>
      <c r="Q10" s="404">
        <f>IF(OR($B10="",L10="",M10="",'ข้อมูลนักเรียน'!$S10=""),"",IFERROR(DATEDIF('ข้อมูลนักเรียน'!$S10,DATE('ข้อมูลโรงเรียน'!$C$12-543,6,IF($N$6="",15,$N$6)),"m"),""))</f>
        <v/>
      </c>
      <c r="R10" s="404">
        <f>IF(Q10="","",IF(OR(Q10&lt;24,Q10&gt;71,M10&lt;65,M10&gt;120,(IF('ข้อมูลนักเรียน'!$D10="ด.ช.",0,IF('ข้อมูลนักเรียน'!$D10="ด.ญ.",3,-99)))&lt;0),"",IFERROR(((L10/INDEX('เกณฑ์WHO'!$B$2:$G$112,MATCH(ROUND(M10*2,0)/2,'เกณฑ์WHO'!$A$2:$A$112,0),2+(IF('ข้อมูลนักเรียน'!$D10="ด.ช.",0,IF('ข้อมูลนักเรียน'!$D10="ด.ญ.",3,-99)))))^INDEX('เกณฑ์WHO'!$B$2:$G$112,MATCH(ROUND(M10*2,0)/2,'เกณฑ์WHO'!$A$2:$A$112,0),1+(IF('ข้อมูลนักเรียน'!$D10="ด.ช.",0,IF('ข้อมูลนักเรียน'!$D10="ด.ญ.",3,-99))))-1)/(INDEX('เกณฑ์WHO'!$B$2:$G$112,MATCH(ROUND(M10*2,0)/2,'เกณฑ์WHO'!$A$2:$A$112,0),1+(IF('ข้อมูลนักเรียน'!$D10="ด.ช.",0,IF('ข้อมูลนักเรียน'!$D10="ด.ญ.",3,-99))))*INDEX('เกณฑ์WHO'!$B$2:$G$112,MATCH(ROUND(M10*2,0)/2,'เกณฑ์WHO'!$A$2:$A$112,0),3+(IF('ข้อมูลนักเรียน'!$D10="ด.ช.",0,IF('ข้อมูลนักเรียน'!$D10="ด.ญ.",3,-99))))),"")))</f>
        <v/>
      </c>
      <c r="S10" s="404">
        <f>IF(Q10="","",IF(OR(Q10&lt;24,Q10&gt;71,(IF('ข้อมูลนักเรียน'!$D10="ด.ช.",0,IF('ข้อมูลนักเรียน'!$D10="ด.ญ.",2,-99)))&lt;0),"",IFERROR((M10/INDEX('เกณฑ์WHO'!$J$2:$M$61,MATCH(Q10,'เกณฑ์WHO'!$I$2:$I$61,0),1+(IF('ข้อมูลนักเรียน'!$D10="ด.ช.",0,IF('ข้อมูลนักเรียน'!$D10="ด.ญ.",2,-99))))-1)/INDEX('เกณฑ์WHO'!$J$2:$M$61,MATCH(Q10,'เกณฑ์WHO'!$I$2:$I$61,0),2+(IF('ข้อมูลนักเรียน'!$D10="ด.ช.",0,IF('ข้อมูลนักเรียน'!$D10="ด.ญ.",2,-99)))),"")))</f>
        <v/>
      </c>
      <c r="T10" s="401" t="n"/>
      <c r="U10" s="402" t="n"/>
      <c r="V10" s="403">
        <f>IF(OR(T10="",U10=""),"",ROUND(T10/(U10/100)^2,1))</f>
        <v/>
      </c>
      <c r="W10" s="232">
        <f>IF(OR($B10="",T10="",U10=""),"",IF(Z10="","ตรวจสอบข้อมูล",IF(Z10&lt;-2,"ผอม",IF(Z10&lt;-1.5,"ค่อนข้างผอม",IF(Z10&lt;=1.5,"สมส่วน",IF(Z10&lt;=2,"ท้วม",IF(Z10&lt;=3,"เริ่มอ้วน","อ้วน")))))))</f>
        <v/>
      </c>
      <c r="X10" s="232">
        <f>IF(OR($B10="",T10="",U10=""),"",IF(AA10="","ตรวจสอบข้อมูล",IF(AA10&lt;-2,"เตี้ย",IF(AA10&lt;-1.5,"ค่อนข้างเตี้ย",IF(AA10&lt;=1.5,"ตามเกณฑ์",IF(AA10&lt;=2,"ค่อนข้างสูง","สูง"))))))</f>
        <v/>
      </c>
      <c r="Y10" s="404">
        <f>IF(OR($B10="",T10="",U10="",'ข้อมูลนักเรียน'!$S10=""),"",IFERROR(DATEDIF('ข้อมูลนักเรียน'!$S10,DATE('ข้อมูลโรงเรียน'!$C$12-543,7,IF($V$6="",15,$V$6)),"m"),""))</f>
        <v/>
      </c>
      <c r="Z10" s="404">
        <f>IF(Y10="","",IF(OR(Y10&lt;24,Y10&gt;71,U10&lt;65,U10&gt;120,(IF('ข้อมูลนักเรียน'!$D10="ด.ช.",0,IF('ข้อมูลนักเรียน'!$D10="ด.ญ.",3,-99)))&lt;0),"",IFERROR(((T10/INDEX('เกณฑ์WHO'!$B$2:$G$112,MATCH(ROUND(U10*2,0)/2,'เกณฑ์WHO'!$A$2:$A$112,0),2+(IF('ข้อมูลนักเรียน'!$D10="ด.ช.",0,IF('ข้อมูลนักเรียน'!$D10="ด.ญ.",3,-99)))))^INDEX('เกณฑ์WHO'!$B$2:$G$112,MATCH(ROUND(U10*2,0)/2,'เกณฑ์WHO'!$A$2:$A$112,0),1+(IF('ข้อมูลนักเรียน'!$D10="ด.ช.",0,IF('ข้อมูลนักเรียน'!$D10="ด.ญ.",3,-99))))-1)/(INDEX('เกณฑ์WHO'!$B$2:$G$112,MATCH(ROUND(U10*2,0)/2,'เกณฑ์WHO'!$A$2:$A$112,0),1+(IF('ข้อมูลนักเรียน'!$D10="ด.ช.",0,IF('ข้อมูลนักเรียน'!$D10="ด.ญ.",3,-99))))*INDEX('เกณฑ์WHO'!$B$2:$G$112,MATCH(ROUND(U10*2,0)/2,'เกณฑ์WHO'!$A$2:$A$112,0),3+(IF('ข้อมูลนักเรียน'!$D10="ด.ช.",0,IF('ข้อมูลนักเรียน'!$D10="ด.ญ.",3,-99))))),"")))</f>
        <v/>
      </c>
      <c r="AA10" s="404">
        <f>IF(Y10="","",IF(OR(Y10&lt;24,Y10&gt;71,(IF('ข้อมูลนักเรียน'!$D10="ด.ช.",0,IF('ข้อมูลนักเรียน'!$D10="ด.ญ.",2,-99)))&lt;0),"",IFERROR((U10/INDEX('เกณฑ์WHO'!$J$2:$M$61,MATCH(Y10,'เกณฑ์WHO'!$I$2:$I$61,0),1+(IF('ข้อมูลนักเรียน'!$D10="ด.ช.",0,IF('ข้อมูลนักเรียน'!$D10="ด.ญ.",2,-99))))-1)/INDEX('เกณฑ์WHO'!$J$2:$M$61,MATCH(Y10,'เกณฑ์WHO'!$I$2:$I$61,0),2+(IF('ข้อมูลนักเรียน'!$D10="ด.ช.",0,IF('ข้อมูลนักเรียน'!$D10="ด.ญ.",2,-99)))),"")))</f>
        <v/>
      </c>
      <c r="AB10" s="401" t="n"/>
      <c r="AC10" s="402" t="n"/>
      <c r="AD10" s="403">
        <f>IF(OR(AB10="",AC10=""),"",ROUND(AB10/(AC10/100)^2,1))</f>
        <v/>
      </c>
      <c r="AE10" s="232">
        <f>IF(OR($B10="",AB10="",AC10=""),"",IF(AH10="","ตรวจสอบข้อมูล",IF(AH10&lt;-2,"ผอม",IF(AH10&lt;-1.5,"ค่อนข้างผอม",IF(AH10&lt;=1.5,"สมส่วน",IF(AH10&lt;=2,"ท้วม",IF(AH10&lt;=3,"เริ่มอ้วน","อ้วน")))))))</f>
        <v/>
      </c>
      <c r="AF10" s="232">
        <f>IF(OR($B10="",AB10="",AC10=""),"",IF(AI10="","ตรวจสอบข้อมูล",IF(AI10&lt;-2,"เตี้ย",IF(AI10&lt;-1.5,"ค่อนข้างเตี้ย",IF(AI10&lt;=1.5,"ตามเกณฑ์",IF(AI10&lt;=2,"ค่อนข้างสูง","สูง"))))))</f>
        <v/>
      </c>
      <c r="AG10" s="404">
        <f>IF(OR($B10="",AB10="",AC10="",'ข้อมูลนักเรียน'!$S10=""),"",IFERROR(DATEDIF('ข้อมูลนักเรียน'!$S10,DATE('ข้อมูลโรงเรียน'!$C$12-543,8,IF($AD$6="",15,$AD$6)),"m"),""))</f>
        <v/>
      </c>
      <c r="AH10" s="404">
        <f>IF(AG10="","",IF(OR(AG10&lt;24,AG10&gt;71,AC10&lt;65,AC10&gt;120,(IF('ข้อมูลนักเรียน'!$D10="ด.ช.",0,IF('ข้อมูลนักเรียน'!$D10="ด.ญ.",3,-99)))&lt;0),"",IFERROR(((AB10/INDEX('เกณฑ์WHO'!$B$2:$G$112,MATCH(ROUND(AC10*2,0)/2,'เกณฑ์WHO'!$A$2:$A$112,0),2+(IF('ข้อมูลนักเรียน'!$D10="ด.ช.",0,IF('ข้อมูลนักเรียน'!$D10="ด.ญ.",3,-99)))))^INDEX('เกณฑ์WHO'!$B$2:$G$112,MATCH(ROUND(AC10*2,0)/2,'เกณฑ์WHO'!$A$2:$A$112,0),1+(IF('ข้อมูลนักเรียน'!$D10="ด.ช.",0,IF('ข้อมูลนักเรียน'!$D10="ด.ญ.",3,-99))))-1)/(INDEX('เกณฑ์WHO'!$B$2:$G$112,MATCH(ROUND(AC10*2,0)/2,'เกณฑ์WHO'!$A$2:$A$112,0),1+(IF('ข้อมูลนักเรียน'!$D10="ด.ช.",0,IF('ข้อมูลนักเรียน'!$D10="ด.ญ.",3,-99))))*INDEX('เกณฑ์WHO'!$B$2:$G$112,MATCH(ROUND(AC10*2,0)/2,'เกณฑ์WHO'!$A$2:$A$112,0),3+(IF('ข้อมูลนักเรียน'!$D10="ด.ช.",0,IF('ข้อมูลนักเรียน'!$D10="ด.ญ.",3,-99))))),"")))</f>
        <v/>
      </c>
      <c r="AI10" s="404">
        <f>IF(AG10="","",IF(OR(AG10&lt;24,AG10&gt;71,(IF('ข้อมูลนักเรียน'!$D10="ด.ช.",0,IF('ข้อมูลนักเรียน'!$D10="ด.ญ.",2,-99)))&lt;0),"",IFERROR((AC10/INDEX('เกณฑ์WHO'!$J$2:$M$61,MATCH(AG10,'เกณฑ์WHO'!$I$2:$I$61,0),1+(IF('ข้อมูลนักเรียน'!$D10="ด.ช.",0,IF('ข้อมูลนักเรียน'!$D10="ด.ญ.",2,-99))))-1)/INDEX('เกณฑ์WHO'!$J$2:$M$61,MATCH(AG10,'เกณฑ์WHO'!$I$2:$I$61,0),2+(IF('ข้อมูลนักเรียน'!$D10="ด.ช.",0,IF('ข้อมูลนักเรียน'!$D10="ด.ญ.",2,-99)))),"")))</f>
        <v/>
      </c>
      <c r="AJ10" s="401" t="n"/>
      <c r="AK10" s="402" t="n"/>
      <c r="AL10" s="403">
        <f>IF(OR(AJ10="",AK10=""),"",ROUND(AJ10/(AK10/100)^2,1))</f>
        <v/>
      </c>
      <c r="AM10" s="232">
        <f>IF(OR($B10="",AJ10="",AK10=""),"",IF(AP10="","ตรวจสอบข้อมูล",IF(AP10&lt;-2,"ผอม",IF(AP10&lt;-1.5,"ค่อนข้างผอม",IF(AP10&lt;=1.5,"สมส่วน",IF(AP10&lt;=2,"ท้วม",IF(AP10&lt;=3,"เริ่มอ้วน","อ้วน")))))))</f>
        <v/>
      </c>
      <c r="AN10" s="232">
        <f>IF(OR($B10="",AJ10="",AK10=""),"",IF(AQ10="","ตรวจสอบข้อมูล",IF(AQ10&lt;-2,"เตี้ย",IF(AQ10&lt;-1.5,"ค่อนข้างเตี้ย",IF(AQ10&lt;=1.5,"ตามเกณฑ์",IF(AQ10&lt;=2,"ค่อนข้างสูง","สูง"))))))</f>
        <v/>
      </c>
      <c r="AO10" s="404">
        <f>IF(OR($B10="",AJ10="",AK10="",'ข้อมูลนักเรียน'!$S10=""),"",IFERROR(DATEDIF('ข้อมูลนักเรียน'!$S10,DATE('ข้อมูลโรงเรียน'!$C$12-543,9,IF($AL$6="",15,$AL$6)),"m"),""))</f>
        <v/>
      </c>
      <c r="AP10" s="404">
        <f>IF(AO10="","",IF(OR(AO10&lt;24,AO10&gt;71,AK10&lt;65,AK10&gt;120,(IF('ข้อมูลนักเรียน'!$D10="ด.ช.",0,IF('ข้อมูลนักเรียน'!$D10="ด.ญ.",3,-99)))&lt;0),"",IFERROR(((AJ10/INDEX('เกณฑ์WHO'!$B$2:$G$112,MATCH(ROUND(AK10*2,0)/2,'เกณฑ์WHO'!$A$2:$A$112,0),2+(IF('ข้อมูลนักเรียน'!$D10="ด.ช.",0,IF('ข้อมูลนักเรียน'!$D10="ด.ญ.",3,-99)))))^INDEX('เกณฑ์WHO'!$B$2:$G$112,MATCH(ROUND(AK10*2,0)/2,'เกณฑ์WHO'!$A$2:$A$112,0),1+(IF('ข้อมูลนักเรียน'!$D10="ด.ช.",0,IF('ข้อมูลนักเรียน'!$D10="ด.ญ.",3,-99))))-1)/(INDEX('เกณฑ์WHO'!$B$2:$G$112,MATCH(ROUND(AK10*2,0)/2,'เกณฑ์WHO'!$A$2:$A$112,0),1+(IF('ข้อมูลนักเรียน'!$D10="ด.ช.",0,IF('ข้อมูลนักเรียน'!$D10="ด.ญ.",3,-99))))*INDEX('เกณฑ์WHO'!$B$2:$G$112,MATCH(ROUND(AK10*2,0)/2,'เกณฑ์WHO'!$A$2:$A$112,0),3+(IF('ข้อมูลนักเรียน'!$D10="ด.ช.",0,IF('ข้อมูลนักเรียน'!$D10="ด.ญ.",3,-99))))),"")))</f>
        <v/>
      </c>
      <c r="AQ10" s="404">
        <f>IF(AO10="","",IF(OR(AO10&lt;24,AO10&gt;71,(IF('ข้อมูลนักเรียน'!$D10="ด.ช.",0,IF('ข้อมูลนักเรียน'!$D10="ด.ญ.",2,-99)))&lt;0),"",IFERROR((AK10/INDEX('เกณฑ์WHO'!$J$2:$M$61,MATCH(AO10,'เกณฑ์WHO'!$I$2:$I$61,0),1+(IF('ข้อมูลนักเรียน'!$D10="ด.ช.",0,IF('ข้อมูลนักเรียน'!$D10="ด.ญ.",2,-99))))-1)/INDEX('เกณฑ์WHO'!$J$2:$M$61,MATCH(AO10,'เกณฑ์WHO'!$I$2:$I$61,0),2+(IF('ข้อมูลนักเรียน'!$D10="ด.ช.",0,IF('ข้อมูลนักเรียน'!$D10="ด.ญ.",2,-99)))),"")))</f>
        <v/>
      </c>
      <c r="AR10" s="401" t="n"/>
      <c r="AS10" s="402" t="n"/>
      <c r="AT10" s="403">
        <f>IF(OR(AR10="",AS10=""),"",ROUND(AR10/(AS10/100)^2,1))</f>
        <v/>
      </c>
      <c r="AU10" s="232">
        <f>IF(OR($B10="",AR10="",AS10=""),"",IF(AX10="","ตรวจสอบข้อมูล",IF(AX10&lt;-2,"ผอม",IF(AX10&lt;-1.5,"ค่อนข้างผอม",IF(AX10&lt;=1.5,"สมส่วน",IF(AX10&lt;=2,"ท้วม",IF(AX10&lt;=3,"เริ่มอ้วน","อ้วน")))))))</f>
        <v/>
      </c>
      <c r="AV10" s="232">
        <f>IF(OR($B10="",AR10="",AS10=""),"",IF(AY10="","ตรวจสอบข้อมูล",IF(AY10&lt;-2,"เตี้ย",IF(AY10&lt;-1.5,"ค่อนข้างเตี้ย",IF(AY10&lt;=1.5,"ตามเกณฑ์",IF(AY10&lt;=2,"ค่อนข้างสูง","สูง"))))))</f>
        <v/>
      </c>
      <c r="AW10" s="404">
        <f>IF(OR($B10="",AR10="",AS10="",'ข้อมูลนักเรียน'!$S10=""),"",IFERROR(DATEDIF('ข้อมูลนักเรียน'!$S10,DATE('ข้อมูลโรงเรียน'!$C$12-543,10,IF($AT$6="",15,$AT$6)),"m"),""))</f>
        <v/>
      </c>
      <c r="AX10" s="404">
        <f>IF(AW10="","",IF(OR(AW10&lt;24,AW10&gt;71,AS10&lt;65,AS10&gt;120,(IF('ข้อมูลนักเรียน'!$D10="ด.ช.",0,IF('ข้อมูลนักเรียน'!$D10="ด.ญ.",3,-99)))&lt;0),"",IFERROR(((AR10/INDEX('เกณฑ์WHO'!$B$2:$G$112,MATCH(ROUND(AS10*2,0)/2,'เกณฑ์WHO'!$A$2:$A$112,0),2+(IF('ข้อมูลนักเรียน'!$D10="ด.ช.",0,IF('ข้อมูลนักเรียน'!$D10="ด.ญ.",3,-99)))))^INDEX('เกณฑ์WHO'!$B$2:$G$112,MATCH(ROUND(AS10*2,0)/2,'เกณฑ์WHO'!$A$2:$A$112,0),1+(IF('ข้อมูลนักเรียน'!$D10="ด.ช.",0,IF('ข้อมูลนักเรียน'!$D10="ด.ญ.",3,-99))))-1)/(INDEX('เกณฑ์WHO'!$B$2:$G$112,MATCH(ROUND(AS10*2,0)/2,'เกณฑ์WHO'!$A$2:$A$112,0),1+(IF('ข้อมูลนักเรียน'!$D10="ด.ช.",0,IF('ข้อมูลนักเรียน'!$D10="ด.ญ.",3,-99))))*INDEX('เกณฑ์WHO'!$B$2:$G$112,MATCH(ROUND(AS10*2,0)/2,'เกณฑ์WHO'!$A$2:$A$112,0),3+(IF('ข้อมูลนักเรียน'!$D10="ด.ช.",0,IF('ข้อมูลนักเรียน'!$D10="ด.ญ.",3,-99))))),"")))</f>
        <v/>
      </c>
      <c r="AY10" s="404">
        <f>IF(AW10="","",IF(OR(AW10&lt;24,AW10&gt;71,(IF('ข้อมูลนักเรียน'!$D10="ด.ช.",0,IF('ข้อมูลนักเรียน'!$D10="ด.ญ.",2,-99)))&lt;0),"",IFERROR((AS10/INDEX('เกณฑ์WHO'!$J$2:$M$61,MATCH(AW10,'เกณฑ์WHO'!$I$2:$I$61,0),1+(IF('ข้อมูลนักเรียน'!$D10="ด.ช.",0,IF('ข้อมูลนักเรียน'!$D10="ด.ญ.",2,-99))))-1)/INDEX('เกณฑ์WHO'!$J$2:$M$61,MATCH(AW10,'เกณฑ์WHO'!$I$2:$I$61,0),2+(IF('ข้อมูลนักเรียน'!$D10="ด.ช.",0,IF('ข้อมูลนักเรียน'!$D10="ด.ญ.",2,-99)))),"")))</f>
        <v/>
      </c>
      <c r="AZ10" s="401" t="n"/>
      <c r="BA10" s="402" t="n"/>
      <c r="BB10" s="403">
        <f>IF(OR(AZ10="",BA10=""),"",ROUND(AZ10/(BA10/100)^2,1))</f>
        <v/>
      </c>
      <c r="BC10" s="232">
        <f>IF(OR($B10="",AZ10="",BA10=""),"",IF(BF10="","ตรวจสอบข้อมูล",IF(BF10&lt;-2,"ผอม",IF(BF10&lt;-1.5,"ค่อนข้างผอม",IF(BF10&lt;=1.5,"สมส่วน",IF(BF10&lt;=2,"ท้วม",IF(BF10&lt;=3,"เริ่มอ้วน","อ้วน")))))))</f>
        <v/>
      </c>
      <c r="BD10" s="232">
        <f>IF(OR($B10="",AZ10="",BA10=""),"",IF(BG10="","ตรวจสอบข้อมูล",IF(BG10&lt;-2,"เตี้ย",IF(BG10&lt;-1.5,"ค่อนข้างเตี้ย",IF(BG10&lt;=1.5,"ตามเกณฑ์",IF(BG10&lt;=2,"ค่อนข้างสูง","สูง"))))))</f>
        <v/>
      </c>
      <c r="BE10" s="404">
        <f>IF(OR($B10="",AZ10="",BA10="",'ข้อมูลนักเรียน'!$S10=""),"",IFERROR(DATEDIF('ข้อมูลนักเรียน'!$S10,DATE('ข้อมูลโรงเรียน'!$C$12-543,11,IF($BB$6="",15,$BB$6)),"m"),""))</f>
        <v/>
      </c>
      <c r="BF10" s="404">
        <f>IF(BE10="","",IF(OR(BE10&lt;24,BE10&gt;71,BA10&lt;65,BA10&gt;120,(IF('ข้อมูลนักเรียน'!$D10="ด.ช.",0,IF('ข้อมูลนักเรียน'!$D10="ด.ญ.",3,-99)))&lt;0),"",IFERROR(((AZ10/INDEX('เกณฑ์WHO'!$B$2:$G$112,MATCH(ROUND(BA10*2,0)/2,'เกณฑ์WHO'!$A$2:$A$112,0),2+(IF('ข้อมูลนักเรียน'!$D10="ด.ช.",0,IF('ข้อมูลนักเรียน'!$D10="ด.ญ.",3,-99)))))^INDEX('เกณฑ์WHO'!$B$2:$G$112,MATCH(ROUND(BA10*2,0)/2,'เกณฑ์WHO'!$A$2:$A$112,0),1+(IF('ข้อมูลนักเรียน'!$D10="ด.ช.",0,IF('ข้อมูลนักเรียน'!$D10="ด.ญ.",3,-99))))-1)/(INDEX('เกณฑ์WHO'!$B$2:$G$112,MATCH(ROUND(BA10*2,0)/2,'เกณฑ์WHO'!$A$2:$A$112,0),1+(IF('ข้อมูลนักเรียน'!$D10="ด.ช.",0,IF('ข้อมูลนักเรียน'!$D10="ด.ญ.",3,-99))))*INDEX('เกณฑ์WHO'!$B$2:$G$112,MATCH(ROUND(BA10*2,0)/2,'เกณฑ์WHO'!$A$2:$A$112,0),3+(IF('ข้อมูลนักเรียน'!$D10="ด.ช.",0,IF('ข้อมูลนักเรียน'!$D10="ด.ญ.",3,-99))))),"")))</f>
        <v/>
      </c>
      <c r="BG10" s="404">
        <f>IF(BE10="","",IF(OR(BE10&lt;24,BE10&gt;71,(IF('ข้อมูลนักเรียน'!$D10="ด.ช.",0,IF('ข้อมูลนักเรียน'!$D10="ด.ญ.",2,-99)))&lt;0),"",IFERROR((BA10/INDEX('เกณฑ์WHO'!$J$2:$M$61,MATCH(BE10,'เกณฑ์WHO'!$I$2:$I$61,0),1+(IF('ข้อมูลนักเรียน'!$D10="ด.ช.",0,IF('ข้อมูลนักเรียน'!$D10="ด.ญ.",2,-99))))-1)/INDEX('เกณฑ์WHO'!$J$2:$M$61,MATCH(BE10,'เกณฑ์WHO'!$I$2:$I$61,0),2+(IF('ข้อมูลนักเรียน'!$D10="ด.ช.",0,IF('ข้อมูลนักเรียน'!$D10="ด.ญ.",2,-99)))),"")))</f>
        <v/>
      </c>
      <c r="BH10" s="401" t="n"/>
      <c r="BI10" s="402" t="n"/>
      <c r="BJ10" s="403">
        <f>IF(OR(BH10="",BI10=""),"",ROUND(BH10/(BI10/100)^2,1))</f>
        <v/>
      </c>
      <c r="BK10" s="232">
        <f>IF(OR($B10="",BH10="",BI10=""),"",IF(BN10="","ตรวจสอบข้อมูล",IF(BN10&lt;-2,"ผอม",IF(BN10&lt;-1.5,"ค่อนข้างผอม",IF(BN10&lt;=1.5,"สมส่วน",IF(BN10&lt;=2,"ท้วม",IF(BN10&lt;=3,"เริ่มอ้วน","อ้วน")))))))</f>
        <v/>
      </c>
      <c r="BL10" s="232">
        <f>IF(OR($B10="",BH10="",BI10=""),"",IF(BO10="","ตรวจสอบข้อมูล",IF(BO10&lt;-2,"เตี้ย",IF(BO10&lt;-1.5,"ค่อนข้างเตี้ย",IF(BO10&lt;=1.5,"ตามเกณฑ์",IF(BO10&lt;=2,"ค่อนข้างสูง","สูง"))))))</f>
        <v/>
      </c>
      <c r="BM10" s="404">
        <f>IF(OR($B10="",BH10="",BI10="",'ข้อมูลนักเรียน'!$S10=""),"",IFERROR(DATEDIF('ข้อมูลนักเรียน'!$S10,DATE('ข้อมูลโรงเรียน'!$C$12-543,12,IF($BJ$6="",15,$BJ$6)),"m"),""))</f>
        <v/>
      </c>
      <c r="BN10" s="404">
        <f>IF(BM10="","",IF(OR(BM10&lt;24,BM10&gt;71,BI10&lt;65,BI10&gt;120,(IF('ข้อมูลนักเรียน'!$D10="ด.ช.",0,IF('ข้อมูลนักเรียน'!$D10="ด.ญ.",3,-99)))&lt;0),"",IFERROR(((BH10/INDEX('เกณฑ์WHO'!$B$2:$G$112,MATCH(ROUND(BI10*2,0)/2,'เกณฑ์WHO'!$A$2:$A$112,0),2+(IF('ข้อมูลนักเรียน'!$D10="ด.ช.",0,IF('ข้อมูลนักเรียน'!$D10="ด.ญ.",3,-99)))))^INDEX('เกณฑ์WHO'!$B$2:$G$112,MATCH(ROUND(BI10*2,0)/2,'เกณฑ์WHO'!$A$2:$A$112,0),1+(IF('ข้อมูลนักเรียน'!$D10="ด.ช.",0,IF('ข้อมูลนักเรียน'!$D10="ด.ญ.",3,-99))))-1)/(INDEX('เกณฑ์WHO'!$B$2:$G$112,MATCH(ROUND(BI10*2,0)/2,'เกณฑ์WHO'!$A$2:$A$112,0),1+(IF('ข้อมูลนักเรียน'!$D10="ด.ช.",0,IF('ข้อมูลนักเรียน'!$D10="ด.ญ.",3,-99))))*INDEX('เกณฑ์WHO'!$B$2:$G$112,MATCH(ROUND(BI10*2,0)/2,'เกณฑ์WHO'!$A$2:$A$112,0),3+(IF('ข้อมูลนักเรียน'!$D10="ด.ช.",0,IF('ข้อมูลนักเรียน'!$D10="ด.ญ.",3,-99))))),"")))</f>
        <v/>
      </c>
      <c r="BO10" s="404">
        <f>IF(BM10="","",IF(OR(BM10&lt;24,BM10&gt;71,(IF('ข้อมูลนักเรียน'!$D10="ด.ช.",0,IF('ข้อมูลนักเรียน'!$D10="ด.ญ.",2,-99)))&lt;0),"",IFERROR((BI10/INDEX('เกณฑ์WHO'!$J$2:$M$61,MATCH(BM10,'เกณฑ์WHO'!$I$2:$I$61,0),1+(IF('ข้อมูลนักเรียน'!$D10="ด.ช.",0,IF('ข้อมูลนักเรียน'!$D10="ด.ญ.",2,-99))))-1)/INDEX('เกณฑ์WHO'!$J$2:$M$61,MATCH(BM10,'เกณฑ์WHO'!$I$2:$I$61,0),2+(IF('ข้อมูลนักเรียน'!$D10="ด.ช.",0,IF('ข้อมูลนักเรียน'!$D10="ด.ญ.",2,-99)))),"")))</f>
        <v/>
      </c>
      <c r="BP10" s="401" t="n"/>
      <c r="BQ10" s="402" t="n"/>
      <c r="BR10" s="403">
        <f>IF(OR(BP10="",BQ10=""),"",ROUND(BP10/(BQ10/100)^2,1))</f>
        <v/>
      </c>
      <c r="BS10" s="232">
        <f>IF(OR($B10="",BP10="",BQ10=""),"",IF(BV10="","ตรวจสอบข้อมูล",IF(BV10&lt;-2,"ผอม",IF(BV10&lt;-1.5,"ค่อนข้างผอม",IF(BV10&lt;=1.5,"สมส่วน",IF(BV10&lt;=2,"ท้วม",IF(BV10&lt;=3,"เริ่มอ้วน","อ้วน")))))))</f>
        <v/>
      </c>
      <c r="BT10" s="232">
        <f>IF(OR($B10="",BP10="",BQ10=""),"",IF(BW10="","ตรวจสอบข้อมูล",IF(BW10&lt;-2,"เตี้ย",IF(BW10&lt;-1.5,"ค่อนข้างเตี้ย",IF(BW10&lt;=1.5,"ตามเกณฑ์",IF(BW10&lt;=2,"ค่อนข้างสูง","สูง"))))))</f>
        <v/>
      </c>
      <c r="BU10" s="404">
        <f>IF(OR($B10="",BP10="",BQ10="",'ข้อมูลนักเรียน'!$S10=""),"",IFERROR(DATEDIF('ข้อมูลนักเรียน'!$S10,DATE('ข้อมูลโรงเรียน'!$C$12-542,1,IF($BR$6="",15,$BR$6)),"m"),""))</f>
        <v/>
      </c>
      <c r="BV10" s="404">
        <f>IF(BU10="","",IF(OR(BU10&lt;24,BU10&gt;71,BQ10&lt;65,BQ10&gt;120,(IF('ข้อมูลนักเรียน'!$D10="ด.ช.",0,IF('ข้อมูลนักเรียน'!$D10="ด.ญ.",3,-99)))&lt;0),"",IFERROR(((BP10/INDEX('เกณฑ์WHO'!$B$2:$G$112,MATCH(ROUND(BQ10*2,0)/2,'เกณฑ์WHO'!$A$2:$A$112,0),2+(IF('ข้อมูลนักเรียน'!$D10="ด.ช.",0,IF('ข้อมูลนักเรียน'!$D10="ด.ญ.",3,-99)))))^INDEX('เกณฑ์WHO'!$B$2:$G$112,MATCH(ROUND(BQ10*2,0)/2,'เกณฑ์WHO'!$A$2:$A$112,0),1+(IF('ข้อมูลนักเรียน'!$D10="ด.ช.",0,IF('ข้อมูลนักเรียน'!$D10="ด.ญ.",3,-99))))-1)/(INDEX('เกณฑ์WHO'!$B$2:$G$112,MATCH(ROUND(BQ10*2,0)/2,'เกณฑ์WHO'!$A$2:$A$112,0),1+(IF('ข้อมูลนักเรียน'!$D10="ด.ช.",0,IF('ข้อมูลนักเรียน'!$D10="ด.ญ.",3,-99))))*INDEX('เกณฑ์WHO'!$B$2:$G$112,MATCH(ROUND(BQ10*2,0)/2,'เกณฑ์WHO'!$A$2:$A$112,0),3+(IF('ข้อมูลนักเรียน'!$D10="ด.ช.",0,IF('ข้อมูลนักเรียน'!$D10="ด.ญ.",3,-99))))),"")))</f>
        <v/>
      </c>
      <c r="BW10" s="404">
        <f>IF(BU10="","",IF(OR(BU10&lt;24,BU10&gt;71,(IF('ข้อมูลนักเรียน'!$D10="ด.ช.",0,IF('ข้อมูลนักเรียน'!$D10="ด.ญ.",2,-99)))&lt;0),"",IFERROR((BQ10/INDEX('เกณฑ์WHO'!$J$2:$M$61,MATCH(BU10,'เกณฑ์WHO'!$I$2:$I$61,0),1+(IF('ข้อมูลนักเรียน'!$D10="ด.ช.",0,IF('ข้อมูลนักเรียน'!$D10="ด.ญ.",2,-99))))-1)/INDEX('เกณฑ์WHO'!$J$2:$M$61,MATCH(BU10,'เกณฑ์WHO'!$I$2:$I$61,0),2+(IF('ข้อมูลนักเรียน'!$D10="ด.ช.",0,IF('ข้อมูลนักเรียน'!$D10="ด.ญ.",2,-99)))),"")))</f>
        <v/>
      </c>
      <c r="BX10" s="401" t="n"/>
      <c r="BY10" s="402" t="n"/>
      <c r="BZ10" s="403">
        <f>IF(OR(BX10="",BY10=""),"",ROUND(BX10/(BY10/100)^2,1))</f>
        <v/>
      </c>
      <c r="CA10" s="232">
        <f>IF(OR($B10="",BX10="",BY10=""),"",IF(CD10="","ตรวจสอบข้อมูล",IF(CD10&lt;-2,"ผอม",IF(CD10&lt;-1.5,"ค่อนข้างผอม",IF(CD10&lt;=1.5,"สมส่วน",IF(CD10&lt;=2,"ท้วม",IF(CD10&lt;=3,"เริ่มอ้วน","อ้วน")))))))</f>
        <v/>
      </c>
      <c r="CB10" s="232">
        <f>IF(OR($B10="",BX10="",BY10=""),"",IF(CE10="","ตรวจสอบข้อมูล",IF(CE10&lt;-2,"เตี้ย",IF(CE10&lt;-1.5,"ค่อนข้างเตี้ย",IF(CE10&lt;=1.5,"ตามเกณฑ์",IF(CE10&lt;=2,"ค่อนข้างสูง","สูง"))))))</f>
        <v/>
      </c>
      <c r="CC10" s="404">
        <f>IF(OR($B10="",BX10="",BY10="",'ข้อมูลนักเรียน'!$S10=""),"",IFERROR(DATEDIF('ข้อมูลนักเรียน'!$S10,DATE('ข้อมูลโรงเรียน'!$C$12-542,2,IF($BZ$6="",15,$BZ$6)),"m"),""))</f>
        <v/>
      </c>
      <c r="CD10" s="404">
        <f>IF(CC10="","",IF(OR(CC10&lt;24,CC10&gt;71,BY10&lt;65,BY10&gt;120,(IF('ข้อมูลนักเรียน'!$D10="ด.ช.",0,IF('ข้อมูลนักเรียน'!$D10="ด.ญ.",3,-99)))&lt;0),"",IFERROR(((BX10/INDEX('เกณฑ์WHO'!$B$2:$G$112,MATCH(ROUND(BY10*2,0)/2,'เกณฑ์WHO'!$A$2:$A$112,0),2+(IF('ข้อมูลนักเรียน'!$D10="ด.ช.",0,IF('ข้อมูลนักเรียน'!$D10="ด.ญ.",3,-99)))))^INDEX('เกณฑ์WHO'!$B$2:$G$112,MATCH(ROUND(BY10*2,0)/2,'เกณฑ์WHO'!$A$2:$A$112,0),1+(IF('ข้อมูลนักเรียน'!$D10="ด.ช.",0,IF('ข้อมูลนักเรียน'!$D10="ด.ญ.",3,-99))))-1)/(INDEX('เกณฑ์WHO'!$B$2:$G$112,MATCH(ROUND(BY10*2,0)/2,'เกณฑ์WHO'!$A$2:$A$112,0),1+(IF('ข้อมูลนักเรียน'!$D10="ด.ช.",0,IF('ข้อมูลนักเรียน'!$D10="ด.ญ.",3,-99))))*INDEX('เกณฑ์WHO'!$B$2:$G$112,MATCH(ROUND(BY10*2,0)/2,'เกณฑ์WHO'!$A$2:$A$112,0),3+(IF('ข้อมูลนักเรียน'!$D10="ด.ช.",0,IF('ข้อมูลนักเรียน'!$D10="ด.ญ.",3,-99))))),"")))</f>
        <v/>
      </c>
      <c r="CE10" s="404">
        <f>IF(CC10="","",IF(OR(CC10&lt;24,CC10&gt;71,(IF('ข้อมูลนักเรียน'!$D10="ด.ช.",0,IF('ข้อมูลนักเรียน'!$D10="ด.ญ.",2,-99)))&lt;0),"",IFERROR((BY10/INDEX('เกณฑ์WHO'!$J$2:$M$61,MATCH(CC10,'เกณฑ์WHO'!$I$2:$I$61,0),1+(IF('ข้อมูลนักเรียน'!$D10="ด.ช.",0,IF('ข้อมูลนักเรียน'!$D10="ด.ญ.",2,-99))))-1)/INDEX('เกณฑ์WHO'!$J$2:$M$61,MATCH(CC10,'เกณฑ์WHO'!$I$2:$I$61,0),2+(IF('ข้อมูลนักเรียน'!$D10="ด.ช.",0,IF('ข้อมูลนักเรียน'!$D10="ด.ญ.",2,-99)))),"")))</f>
        <v/>
      </c>
      <c r="CF10" s="401" t="n"/>
      <c r="CG10" s="402" t="n"/>
      <c r="CH10" s="403">
        <f>IF(OR(CF10="",CG10=""),"",ROUND(CF10/(CG10/100)^2,1))</f>
        <v/>
      </c>
      <c r="CI10" s="232">
        <f>IF(OR($B10="",CF10="",CG10=""),"",IF(CL10="","ตรวจสอบข้อมูล",IF(CL10&lt;-2,"ผอม",IF(CL10&lt;-1.5,"ค่อนข้างผอม",IF(CL10&lt;=1.5,"สมส่วน",IF(CL10&lt;=2,"ท้วม",IF(CL10&lt;=3,"เริ่มอ้วน","อ้วน")))))))</f>
        <v/>
      </c>
      <c r="CJ10" s="232">
        <f>IF(OR($B10="",CF10="",CG10=""),"",IF(CM10="","ตรวจสอบข้อมูล",IF(CM10&lt;-2,"เตี้ย",IF(CM10&lt;-1.5,"ค่อนข้างเตี้ย",IF(CM10&lt;=1.5,"ตามเกณฑ์",IF(CM10&lt;=2,"ค่อนข้างสูง","สูง"))))))</f>
        <v/>
      </c>
      <c r="CK10" s="404">
        <f>IF(OR($B10="",CF10="",CG10="",'ข้อมูลนักเรียน'!$S10=""),"",IFERROR(DATEDIF('ข้อมูลนักเรียน'!$S10,DATE('ข้อมูลโรงเรียน'!$C$12-542,3,IF($CH$6="",15,$CH$6)),"m"),""))</f>
        <v/>
      </c>
      <c r="CL10" s="404">
        <f>IF(CK10="","",IF(OR(CK10&lt;24,CK10&gt;71,CG10&lt;65,CG10&gt;120,(IF('ข้อมูลนักเรียน'!$D10="ด.ช.",0,IF('ข้อมูลนักเรียน'!$D10="ด.ญ.",3,-99)))&lt;0),"",IFERROR(((CF10/INDEX('เกณฑ์WHO'!$B$2:$G$112,MATCH(ROUND(CG10*2,0)/2,'เกณฑ์WHO'!$A$2:$A$112,0),2+(IF('ข้อมูลนักเรียน'!$D10="ด.ช.",0,IF('ข้อมูลนักเรียน'!$D10="ด.ญ.",3,-99)))))^INDEX('เกณฑ์WHO'!$B$2:$G$112,MATCH(ROUND(CG10*2,0)/2,'เกณฑ์WHO'!$A$2:$A$112,0),1+(IF('ข้อมูลนักเรียน'!$D10="ด.ช.",0,IF('ข้อมูลนักเรียน'!$D10="ด.ญ.",3,-99))))-1)/(INDEX('เกณฑ์WHO'!$B$2:$G$112,MATCH(ROUND(CG10*2,0)/2,'เกณฑ์WHO'!$A$2:$A$112,0),1+(IF('ข้อมูลนักเรียน'!$D10="ด.ช.",0,IF('ข้อมูลนักเรียน'!$D10="ด.ญ.",3,-99))))*INDEX('เกณฑ์WHO'!$B$2:$G$112,MATCH(ROUND(CG10*2,0)/2,'เกณฑ์WHO'!$A$2:$A$112,0),3+(IF('ข้อมูลนักเรียน'!$D10="ด.ช.",0,IF('ข้อมูลนักเรียน'!$D10="ด.ญ.",3,-99))))),"")))</f>
        <v/>
      </c>
      <c r="CM10" s="404">
        <f>IF(CK10="","",IF(OR(CK10&lt;24,CK10&gt;71,(IF('ข้อมูลนักเรียน'!$D10="ด.ช.",0,IF('ข้อมูลนักเรียน'!$D10="ด.ญ.",2,-99)))&lt;0),"",IFERROR((CG10/INDEX('เกณฑ์WHO'!$J$2:$M$61,MATCH(CK10,'เกณฑ์WHO'!$I$2:$I$61,0),1+(IF('ข้อมูลนักเรียน'!$D10="ด.ช.",0,IF('ข้อมูลนักเรียน'!$D10="ด.ญ.",2,-99))))-1)/INDEX('เกณฑ์WHO'!$J$2:$M$61,MATCH(CK10,'เกณฑ์WHO'!$I$2:$I$61,0),2+(IF('ข้อมูลนักเรียน'!$D10="ด.ช.",0,IF('ข้อมูลนักเรียน'!$D10="ด.ญ.",2,-99)))),"")))</f>
        <v/>
      </c>
      <c r="CO10">
        <f>IF(N(AR10)&gt;0,AR10,IF(N(AJ10)&gt;0,AJ10,IF(N(AB10)&gt;0,AB10,IF(N(T10)&gt;0,T10,IF(N(L10)&gt;0,L10,IF(N(D10)&gt;0,D10,""))))))</f>
        <v/>
      </c>
      <c r="CP10">
        <f>IF(N(AR10)&gt;0,AS10,IF(N(AJ10)&gt;0,AK10,IF(N(AB10)&gt;0,AC10,IF(N(T10)&gt;0,U10,IF(N(L10)&gt;0,M10,IF(N(D10)&gt;0,E10,""))))))</f>
        <v/>
      </c>
      <c r="CQ10">
        <f>IF(N(AR10)&gt;0,AU10,IF(N(AJ10)&gt;0,AM10,IF(N(AB10)&gt;0,AE10,IF(N(T10)&gt;0,W10,IF(N(L10)&gt;0,O10,IF(N(D10)&gt;0,G10,""))))))</f>
        <v/>
      </c>
      <c r="CR10">
        <f>IF(N(AR10)&gt;0,AV10,IF(N(AJ10)&gt;0,AN10,IF(N(AB10)&gt;0,AF10,IF(N(T10)&gt;0,X10,IF(N(L10)&gt;0,P10,IF(N(D10)&gt;0,H10,""))))))</f>
        <v/>
      </c>
      <c r="CS10">
        <f>IF(N(AR10)&gt;0,"ตุลาคม",IF(N(AJ10)&gt;0,"กันยายน",IF(N(AB10)&gt;0,"สิงหาคม",IF(N(T10)&gt;0,"กรกฎาคม",IF(N(L10)&gt;0,"มิถุนายน",IF(N(D10)&gt;0,"พฤษภาคม",""))))))</f>
        <v/>
      </c>
      <c r="CT10">
        <f>IF(N(CF10)&gt;0,CF10,IF(N(BX10)&gt;0,BX10,IF(N(BP10)&gt;0,BP10,IF(N(BH10)&gt;0,BH10,IF(N(AZ10)&gt;0,AZ10,"")))))</f>
        <v/>
      </c>
      <c r="CU10">
        <f>IF(N(CF10)&gt;0,CG10,IF(N(BX10)&gt;0,BY10,IF(N(BP10)&gt;0,BQ10,IF(N(BH10)&gt;0,BI10,IF(N(AZ10)&gt;0,BA10,"")))))</f>
        <v/>
      </c>
      <c r="CV10">
        <f>IF(N(CF10)&gt;0,CI10,IF(N(BX10)&gt;0,CA10,IF(N(BP10)&gt;0,BS10,IF(N(BH10)&gt;0,BK10,IF(N(AZ10)&gt;0,BC10,"")))))</f>
        <v/>
      </c>
      <c r="CW10">
        <f>IF(N(CF10)&gt;0,CJ10,IF(N(BX10)&gt;0,CB10,IF(N(BP10)&gt;0,BT10,IF(N(BH10)&gt;0,BL10,IF(N(AZ10)&gt;0,BD10,"")))))</f>
        <v/>
      </c>
      <c r="CX10">
        <f>IF(N(CF10)&gt;0,"มีนาคม",IF(N(BX10)&gt;0,"กุมภาพันธ์",IF(N(BP10)&gt;0,"มกราคม",IF(N(BH10)&gt;0,"ธันวาคม",IF(N(AZ10)&gt;0,"พฤศจิกายน","")))))</f>
        <v/>
      </c>
    </row>
    <row r="11">
      <c r="A11" s="218" t="n">
        <v>3</v>
      </c>
      <c r="B11" s="219">
        <f>'ข้อมูลนักเรียน'!T11</f>
        <v/>
      </c>
      <c r="C11" s="400">
        <f>IF(B11="","",IF('ข้อมูลนักเรียน'!D11="ด.ช.","ชาย",IF('ข้อมูลนักเรียน'!D11="ด.ญ.","หญิง",""))&amp;CHAR(10)&amp;'ข้อมูลนักเรียน'!K11)</f>
        <v/>
      </c>
      <c r="D11" s="401" t="n"/>
      <c r="E11" s="402" t="n"/>
      <c r="F11" s="403">
        <f>IF(OR(D11="",E11=""),"",ROUND(D11/(E11/100)^2,1))</f>
        <v/>
      </c>
      <c r="G11" s="232">
        <f>IF(OR($B11="",D11="",E11=""),"",IF(J11="","ตรวจสอบข้อมูล",IF(J11&lt;-2,"ผอม",IF(J11&lt;-1.5,"ค่อนข้างผอม",IF(J11&lt;=1.5,"สมส่วน",IF(J11&lt;=2,"ท้วม",IF(J11&lt;=3,"เริ่มอ้วน","อ้วน")))))))</f>
        <v/>
      </c>
      <c r="H11" s="232">
        <f>IF(OR($B11="",D11="",E11=""),"",IF(K11="","ตรวจสอบข้อมูล",IF(K11&lt;-2,"เตี้ย",IF(K11&lt;-1.5,"ค่อนข้างเตี้ย",IF(K11&lt;=1.5,"ตามเกณฑ์",IF(K11&lt;=2,"ค่อนข้างสูง","สูง"))))))</f>
        <v/>
      </c>
      <c r="I11" s="404">
        <f>IF(OR($B11="",D11="",E11="",'ข้อมูลนักเรียน'!$S11=""),"",IFERROR(DATEDIF('ข้อมูลนักเรียน'!$S11,DATE('ข้อมูลโรงเรียน'!$C$12-543,5,IF($F$6="",15,$F$6)),"m"),""))</f>
        <v/>
      </c>
      <c r="J11" s="404">
        <f>IF(I11="","",IF(OR(I11&lt;24,I11&gt;71,E11&lt;65,E11&gt;120,(IF('ข้อมูลนักเรียน'!$D11="ด.ช.",0,IF('ข้อมูลนักเรียน'!$D11="ด.ญ.",3,-99)))&lt;0),"",IFERROR(((D11/INDEX('เกณฑ์WHO'!$B$2:$G$112,MATCH(ROUND(E11*2,0)/2,'เกณฑ์WHO'!$A$2:$A$112,0),2+(IF('ข้อมูลนักเรียน'!$D11="ด.ช.",0,IF('ข้อมูลนักเรียน'!$D11="ด.ญ.",3,-99)))))^INDEX('เกณฑ์WHO'!$B$2:$G$112,MATCH(ROUND(E11*2,0)/2,'เกณฑ์WHO'!$A$2:$A$112,0),1+(IF('ข้อมูลนักเรียน'!$D11="ด.ช.",0,IF('ข้อมูลนักเรียน'!$D11="ด.ญ.",3,-99))))-1)/(INDEX('เกณฑ์WHO'!$B$2:$G$112,MATCH(ROUND(E11*2,0)/2,'เกณฑ์WHO'!$A$2:$A$112,0),1+(IF('ข้อมูลนักเรียน'!$D11="ด.ช.",0,IF('ข้อมูลนักเรียน'!$D11="ด.ญ.",3,-99))))*INDEX('เกณฑ์WHO'!$B$2:$G$112,MATCH(ROUND(E11*2,0)/2,'เกณฑ์WHO'!$A$2:$A$112,0),3+(IF('ข้อมูลนักเรียน'!$D11="ด.ช.",0,IF('ข้อมูลนักเรียน'!$D11="ด.ญ.",3,-99))))),"")))</f>
        <v/>
      </c>
      <c r="K11" s="404">
        <f>IF(I11="","",IF(OR(I11&lt;24,I11&gt;71,(IF('ข้อมูลนักเรียน'!$D11="ด.ช.",0,IF('ข้อมูลนักเรียน'!$D11="ด.ญ.",2,-99)))&lt;0),"",IFERROR((E11/INDEX('เกณฑ์WHO'!$J$2:$M$61,MATCH(I11,'เกณฑ์WHO'!$I$2:$I$61,0),1+(IF('ข้อมูลนักเรียน'!$D11="ด.ช.",0,IF('ข้อมูลนักเรียน'!$D11="ด.ญ.",2,-99))))-1)/INDEX('เกณฑ์WHO'!$J$2:$M$61,MATCH(I11,'เกณฑ์WHO'!$I$2:$I$61,0),2+(IF('ข้อมูลนักเรียน'!$D11="ด.ช.",0,IF('ข้อมูลนักเรียน'!$D11="ด.ญ.",2,-99)))),"")))</f>
        <v/>
      </c>
      <c r="L11" s="401" t="n"/>
      <c r="M11" s="402" t="n"/>
      <c r="N11" s="403">
        <f>IF(OR(L11="",M11=""),"",ROUND(L11/(M11/100)^2,1))</f>
        <v/>
      </c>
      <c r="O11" s="232">
        <f>IF(OR($B11="",L11="",M11=""),"",IF(R11="","ตรวจสอบข้อมูล",IF(R11&lt;-2,"ผอม",IF(R11&lt;-1.5,"ค่อนข้างผอม",IF(R11&lt;=1.5,"สมส่วน",IF(R11&lt;=2,"ท้วม",IF(R11&lt;=3,"เริ่มอ้วน","อ้วน")))))))</f>
        <v/>
      </c>
      <c r="P11" s="232">
        <f>IF(OR($B11="",L11="",M11=""),"",IF(S11="","ตรวจสอบข้อมูล",IF(S11&lt;-2,"เตี้ย",IF(S11&lt;-1.5,"ค่อนข้างเตี้ย",IF(S11&lt;=1.5,"ตามเกณฑ์",IF(S11&lt;=2,"ค่อนข้างสูง","สูง"))))))</f>
        <v/>
      </c>
      <c r="Q11" s="404">
        <f>IF(OR($B11="",L11="",M11="",'ข้อมูลนักเรียน'!$S11=""),"",IFERROR(DATEDIF('ข้อมูลนักเรียน'!$S11,DATE('ข้อมูลโรงเรียน'!$C$12-543,6,IF($N$6="",15,$N$6)),"m"),""))</f>
        <v/>
      </c>
      <c r="R11" s="404">
        <f>IF(Q11="","",IF(OR(Q11&lt;24,Q11&gt;71,M11&lt;65,M11&gt;120,(IF('ข้อมูลนักเรียน'!$D11="ด.ช.",0,IF('ข้อมูลนักเรียน'!$D11="ด.ญ.",3,-99)))&lt;0),"",IFERROR(((L11/INDEX('เกณฑ์WHO'!$B$2:$G$112,MATCH(ROUND(M11*2,0)/2,'เกณฑ์WHO'!$A$2:$A$112,0),2+(IF('ข้อมูลนักเรียน'!$D11="ด.ช.",0,IF('ข้อมูลนักเรียน'!$D11="ด.ญ.",3,-99)))))^INDEX('เกณฑ์WHO'!$B$2:$G$112,MATCH(ROUND(M11*2,0)/2,'เกณฑ์WHO'!$A$2:$A$112,0),1+(IF('ข้อมูลนักเรียน'!$D11="ด.ช.",0,IF('ข้อมูลนักเรียน'!$D11="ด.ญ.",3,-99))))-1)/(INDEX('เกณฑ์WHO'!$B$2:$G$112,MATCH(ROUND(M11*2,0)/2,'เกณฑ์WHO'!$A$2:$A$112,0),1+(IF('ข้อมูลนักเรียน'!$D11="ด.ช.",0,IF('ข้อมูลนักเรียน'!$D11="ด.ญ.",3,-99))))*INDEX('เกณฑ์WHO'!$B$2:$G$112,MATCH(ROUND(M11*2,0)/2,'เกณฑ์WHO'!$A$2:$A$112,0),3+(IF('ข้อมูลนักเรียน'!$D11="ด.ช.",0,IF('ข้อมูลนักเรียน'!$D11="ด.ญ.",3,-99))))),"")))</f>
        <v/>
      </c>
      <c r="S11" s="404">
        <f>IF(Q11="","",IF(OR(Q11&lt;24,Q11&gt;71,(IF('ข้อมูลนักเรียน'!$D11="ด.ช.",0,IF('ข้อมูลนักเรียน'!$D11="ด.ญ.",2,-99)))&lt;0),"",IFERROR((M11/INDEX('เกณฑ์WHO'!$J$2:$M$61,MATCH(Q11,'เกณฑ์WHO'!$I$2:$I$61,0),1+(IF('ข้อมูลนักเรียน'!$D11="ด.ช.",0,IF('ข้อมูลนักเรียน'!$D11="ด.ญ.",2,-99))))-1)/INDEX('เกณฑ์WHO'!$J$2:$M$61,MATCH(Q11,'เกณฑ์WHO'!$I$2:$I$61,0),2+(IF('ข้อมูลนักเรียน'!$D11="ด.ช.",0,IF('ข้อมูลนักเรียน'!$D11="ด.ญ.",2,-99)))),"")))</f>
        <v/>
      </c>
      <c r="T11" s="401" t="n"/>
      <c r="U11" s="402" t="n"/>
      <c r="V11" s="403">
        <f>IF(OR(T11="",U11=""),"",ROUND(T11/(U11/100)^2,1))</f>
        <v/>
      </c>
      <c r="W11" s="232">
        <f>IF(OR($B11="",T11="",U11=""),"",IF(Z11="","ตรวจสอบข้อมูล",IF(Z11&lt;-2,"ผอม",IF(Z11&lt;-1.5,"ค่อนข้างผอม",IF(Z11&lt;=1.5,"สมส่วน",IF(Z11&lt;=2,"ท้วม",IF(Z11&lt;=3,"เริ่มอ้วน","อ้วน")))))))</f>
        <v/>
      </c>
      <c r="X11" s="232">
        <f>IF(OR($B11="",T11="",U11=""),"",IF(AA11="","ตรวจสอบข้อมูล",IF(AA11&lt;-2,"เตี้ย",IF(AA11&lt;-1.5,"ค่อนข้างเตี้ย",IF(AA11&lt;=1.5,"ตามเกณฑ์",IF(AA11&lt;=2,"ค่อนข้างสูง","สูง"))))))</f>
        <v/>
      </c>
      <c r="Y11" s="404">
        <f>IF(OR($B11="",T11="",U11="",'ข้อมูลนักเรียน'!$S11=""),"",IFERROR(DATEDIF('ข้อมูลนักเรียน'!$S11,DATE('ข้อมูลโรงเรียน'!$C$12-543,7,IF($V$6="",15,$V$6)),"m"),""))</f>
        <v/>
      </c>
      <c r="Z11" s="404">
        <f>IF(Y11="","",IF(OR(Y11&lt;24,Y11&gt;71,U11&lt;65,U11&gt;120,(IF('ข้อมูลนักเรียน'!$D11="ด.ช.",0,IF('ข้อมูลนักเรียน'!$D11="ด.ญ.",3,-99)))&lt;0),"",IFERROR(((T11/INDEX('เกณฑ์WHO'!$B$2:$G$112,MATCH(ROUND(U11*2,0)/2,'เกณฑ์WHO'!$A$2:$A$112,0),2+(IF('ข้อมูลนักเรียน'!$D11="ด.ช.",0,IF('ข้อมูลนักเรียน'!$D11="ด.ญ.",3,-99)))))^INDEX('เกณฑ์WHO'!$B$2:$G$112,MATCH(ROUND(U11*2,0)/2,'เกณฑ์WHO'!$A$2:$A$112,0),1+(IF('ข้อมูลนักเรียน'!$D11="ด.ช.",0,IF('ข้อมูลนักเรียน'!$D11="ด.ญ.",3,-99))))-1)/(INDEX('เกณฑ์WHO'!$B$2:$G$112,MATCH(ROUND(U11*2,0)/2,'เกณฑ์WHO'!$A$2:$A$112,0),1+(IF('ข้อมูลนักเรียน'!$D11="ด.ช.",0,IF('ข้อมูลนักเรียน'!$D11="ด.ญ.",3,-99))))*INDEX('เกณฑ์WHO'!$B$2:$G$112,MATCH(ROUND(U11*2,0)/2,'เกณฑ์WHO'!$A$2:$A$112,0),3+(IF('ข้อมูลนักเรียน'!$D11="ด.ช.",0,IF('ข้อมูลนักเรียน'!$D11="ด.ญ.",3,-99))))),"")))</f>
        <v/>
      </c>
      <c r="AA11" s="404">
        <f>IF(Y11="","",IF(OR(Y11&lt;24,Y11&gt;71,(IF('ข้อมูลนักเรียน'!$D11="ด.ช.",0,IF('ข้อมูลนักเรียน'!$D11="ด.ญ.",2,-99)))&lt;0),"",IFERROR((U11/INDEX('เกณฑ์WHO'!$J$2:$M$61,MATCH(Y11,'เกณฑ์WHO'!$I$2:$I$61,0),1+(IF('ข้อมูลนักเรียน'!$D11="ด.ช.",0,IF('ข้อมูลนักเรียน'!$D11="ด.ญ.",2,-99))))-1)/INDEX('เกณฑ์WHO'!$J$2:$M$61,MATCH(Y11,'เกณฑ์WHO'!$I$2:$I$61,0),2+(IF('ข้อมูลนักเรียน'!$D11="ด.ช.",0,IF('ข้อมูลนักเรียน'!$D11="ด.ญ.",2,-99)))),"")))</f>
        <v/>
      </c>
      <c r="AB11" s="401" t="n"/>
      <c r="AC11" s="402" t="n"/>
      <c r="AD11" s="403">
        <f>IF(OR(AB11="",AC11=""),"",ROUND(AB11/(AC11/100)^2,1))</f>
        <v/>
      </c>
      <c r="AE11" s="232">
        <f>IF(OR($B11="",AB11="",AC11=""),"",IF(AH11="","ตรวจสอบข้อมูล",IF(AH11&lt;-2,"ผอม",IF(AH11&lt;-1.5,"ค่อนข้างผอม",IF(AH11&lt;=1.5,"สมส่วน",IF(AH11&lt;=2,"ท้วม",IF(AH11&lt;=3,"เริ่มอ้วน","อ้วน")))))))</f>
        <v/>
      </c>
      <c r="AF11" s="232">
        <f>IF(OR($B11="",AB11="",AC11=""),"",IF(AI11="","ตรวจสอบข้อมูล",IF(AI11&lt;-2,"เตี้ย",IF(AI11&lt;-1.5,"ค่อนข้างเตี้ย",IF(AI11&lt;=1.5,"ตามเกณฑ์",IF(AI11&lt;=2,"ค่อนข้างสูง","สูง"))))))</f>
        <v/>
      </c>
      <c r="AG11" s="404">
        <f>IF(OR($B11="",AB11="",AC11="",'ข้อมูลนักเรียน'!$S11=""),"",IFERROR(DATEDIF('ข้อมูลนักเรียน'!$S11,DATE('ข้อมูลโรงเรียน'!$C$12-543,8,IF($AD$6="",15,$AD$6)),"m"),""))</f>
        <v/>
      </c>
      <c r="AH11" s="404">
        <f>IF(AG11="","",IF(OR(AG11&lt;24,AG11&gt;71,AC11&lt;65,AC11&gt;120,(IF('ข้อมูลนักเรียน'!$D11="ด.ช.",0,IF('ข้อมูลนักเรียน'!$D11="ด.ญ.",3,-99)))&lt;0),"",IFERROR(((AB11/INDEX('เกณฑ์WHO'!$B$2:$G$112,MATCH(ROUND(AC11*2,0)/2,'เกณฑ์WHO'!$A$2:$A$112,0),2+(IF('ข้อมูลนักเรียน'!$D11="ด.ช.",0,IF('ข้อมูลนักเรียน'!$D11="ด.ญ.",3,-99)))))^INDEX('เกณฑ์WHO'!$B$2:$G$112,MATCH(ROUND(AC11*2,0)/2,'เกณฑ์WHO'!$A$2:$A$112,0),1+(IF('ข้อมูลนักเรียน'!$D11="ด.ช.",0,IF('ข้อมูลนักเรียน'!$D11="ด.ญ.",3,-99))))-1)/(INDEX('เกณฑ์WHO'!$B$2:$G$112,MATCH(ROUND(AC11*2,0)/2,'เกณฑ์WHO'!$A$2:$A$112,0),1+(IF('ข้อมูลนักเรียน'!$D11="ด.ช.",0,IF('ข้อมูลนักเรียน'!$D11="ด.ญ.",3,-99))))*INDEX('เกณฑ์WHO'!$B$2:$G$112,MATCH(ROUND(AC11*2,0)/2,'เกณฑ์WHO'!$A$2:$A$112,0),3+(IF('ข้อมูลนักเรียน'!$D11="ด.ช.",0,IF('ข้อมูลนักเรียน'!$D11="ด.ญ.",3,-99))))),"")))</f>
        <v/>
      </c>
      <c r="AI11" s="404">
        <f>IF(AG11="","",IF(OR(AG11&lt;24,AG11&gt;71,(IF('ข้อมูลนักเรียน'!$D11="ด.ช.",0,IF('ข้อมูลนักเรียน'!$D11="ด.ญ.",2,-99)))&lt;0),"",IFERROR((AC11/INDEX('เกณฑ์WHO'!$J$2:$M$61,MATCH(AG11,'เกณฑ์WHO'!$I$2:$I$61,0),1+(IF('ข้อมูลนักเรียน'!$D11="ด.ช.",0,IF('ข้อมูลนักเรียน'!$D11="ด.ญ.",2,-99))))-1)/INDEX('เกณฑ์WHO'!$J$2:$M$61,MATCH(AG11,'เกณฑ์WHO'!$I$2:$I$61,0),2+(IF('ข้อมูลนักเรียน'!$D11="ด.ช.",0,IF('ข้อมูลนักเรียน'!$D11="ด.ญ.",2,-99)))),"")))</f>
        <v/>
      </c>
      <c r="AJ11" s="401" t="n"/>
      <c r="AK11" s="402" t="n"/>
      <c r="AL11" s="403">
        <f>IF(OR(AJ11="",AK11=""),"",ROUND(AJ11/(AK11/100)^2,1))</f>
        <v/>
      </c>
      <c r="AM11" s="232">
        <f>IF(OR($B11="",AJ11="",AK11=""),"",IF(AP11="","ตรวจสอบข้อมูล",IF(AP11&lt;-2,"ผอม",IF(AP11&lt;-1.5,"ค่อนข้างผอม",IF(AP11&lt;=1.5,"สมส่วน",IF(AP11&lt;=2,"ท้วม",IF(AP11&lt;=3,"เริ่มอ้วน","อ้วน")))))))</f>
        <v/>
      </c>
      <c r="AN11" s="232">
        <f>IF(OR($B11="",AJ11="",AK11=""),"",IF(AQ11="","ตรวจสอบข้อมูล",IF(AQ11&lt;-2,"เตี้ย",IF(AQ11&lt;-1.5,"ค่อนข้างเตี้ย",IF(AQ11&lt;=1.5,"ตามเกณฑ์",IF(AQ11&lt;=2,"ค่อนข้างสูง","สูง"))))))</f>
        <v/>
      </c>
      <c r="AO11" s="404">
        <f>IF(OR($B11="",AJ11="",AK11="",'ข้อมูลนักเรียน'!$S11=""),"",IFERROR(DATEDIF('ข้อมูลนักเรียน'!$S11,DATE('ข้อมูลโรงเรียน'!$C$12-543,9,IF($AL$6="",15,$AL$6)),"m"),""))</f>
        <v/>
      </c>
      <c r="AP11" s="404">
        <f>IF(AO11="","",IF(OR(AO11&lt;24,AO11&gt;71,AK11&lt;65,AK11&gt;120,(IF('ข้อมูลนักเรียน'!$D11="ด.ช.",0,IF('ข้อมูลนักเรียน'!$D11="ด.ญ.",3,-99)))&lt;0),"",IFERROR(((AJ11/INDEX('เกณฑ์WHO'!$B$2:$G$112,MATCH(ROUND(AK11*2,0)/2,'เกณฑ์WHO'!$A$2:$A$112,0),2+(IF('ข้อมูลนักเรียน'!$D11="ด.ช.",0,IF('ข้อมูลนักเรียน'!$D11="ด.ญ.",3,-99)))))^INDEX('เกณฑ์WHO'!$B$2:$G$112,MATCH(ROUND(AK11*2,0)/2,'เกณฑ์WHO'!$A$2:$A$112,0),1+(IF('ข้อมูลนักเรียน'!$D11="ด.ช.",0,IF('ข้อมูลนักเรียน'!$D11="ด.ญ.",3,-99))))-1)/(INDEX('เกณฑ์WHO'!$B$2:$G$112,MATCH(ROUND(AK11*2,0)/2,'เกณฑ์WHO'!$A$2:$A$112,0),1+(IF('ข้อมูลนักเรียน'!$D11="ด.ช.",0,IF('ข้อมูลนักเรียน'!$D11="ด.ญ.",3,-99))))*INDEX('เกณฑ์WHO'!$B$2:$G$112,MATCH(ROUND(AK11*2,0)/2,'เกณฑ์WHO'!$A$2:$A$112,0),3+(IF('ข้อมูลนักเรียน'!$D11="ด.ช.",0,IF('ข้อมูลนักเรียน'!$D11="ด.ญ.",3,-99))))),"")))</f>
        <v/>
      </c>
      <c r="AQ11" s="404">
        <f>IF(AO11="","",IF(OR(AO11&lt;24,AO11&gt;71,(IF('ข้อมูลนักเรียน'!$D11="ด.ช.",0,IF('ข้อมูลนักเรียน'!$D11="ด.ญ.",2,-99)))&lt;0),"",IFERROR((AK11/INDEX('เกณฑ์WHO'!$J$2:$M$61,MATCH(AO11,'เกณฑ์WHO'!$I$2:$I$61,0),1+(IF('ข้อมูลนักเรียน'!$D11="ด.ช.",0,IF('ข้อมูลนักเรียน'!$D11="ด.ญ.",2,-99))))-1)/INDEX('เกณฑ์WHO'!$J$2:$M$61,MATCH(AO11,'เกณฑ์WHO'!$I$2:$I$61,0),2+(IF('ข้อมูลนักเรียน'!$D11="ด.ช.",0,IF('ข้อมูลนักเรียน'!$D11="ด.ญ.",2,-99)))),"")))</f>
        <v/>
      </c>
      <c r="AR11" s="401" t="n"/>
      <c r="AS11" s="402" t="n"/>
      <c r="AT11" s="403">
        <f>IF(OR(AR11="",AS11=""),"",ROUND(AR11/(AS11/100)^2,1))</f>
        <v/>
      </c>
      <c r="AU11" s="232">
        <f>IF(OR($B11="",AR11="",AS11=""),"",IF(AX11="","ตรวจสอบข้อมูล",IF(AX11&lt;-2,"ผอม",IF(AX11&lt;-1.5,"ค่อนข้างผอม",IF(AX11&lt;=1.5,"สมส่วน",IF(AX11&lt;=2,"ท้วม",IF(AX11&lt;=3,"เริ่มอ้วน","อ้วน")))))))</f>
        <v/>
      </c>
      <c r="AV11" s="232">
        <f>IF(OR($B11="",AR11="",AS11=""),"",IF(AY11="","ตรวจสอบข้อมูล",IF(AY11&lt;-2,"เตี้ย",IF(AY11&lt;-1.5,"ค่อนข้างเตี้ย",IF(AY11&lt;=1.5,"ตามเกณฑ์",IF(AY11&lt;=2,"ค่อนข้างสูง","สูง"))))))</f>
        <v/>
      </c>
      <c r="AW11" s="404">
        <f>IF(OR($B11="",AR11="",AS11="",'ข้อมูลนักเรียน'!$S11=""),"",IFERROR(DATEDIF('ข้อมูลนักเรียน'!$S11,DATE('ข้อมูลโรงเรียน'!$C$12-543,10,IF($AT$6="",15,$AT$6)),"m"),""))</f>
        <v/>
      </c>
      <c r="AX11" s="404">
        <f>IF(AW11="","",IF(OR(AW11&lt;24,AW11&gt;71,AS11&lt;65,AS11&gt;120,(IF('ข้อมูลนักเรียน'!$D11="ด.ช.",0,IF('ข้อมูลนักเรียน'!$D11="ด.ญ.",3,-99)))&lt;0),"",IFERROR(((AR11/INDEX('เกณฑ์WHO'!$B$2:$G$112,MATCH(ROUND(AS11*2,0)/2,'เกณฑ์WHO'!$A$2:$A$112,0),2+(IF('ข้อมูลนักเรียน'!$D11="ด.ช.",0,IF('ข้อมูลนักเรียน'!$D11="ด.ญ.",3,-99)))))^INDEX('เกณฑ์WHO'!$B$2:$G$112,MATCH(ROUND(AS11*2,0)/2,'เกณฑ์WHO'!$A$2:$A$112,0),1+(IF('ข้อมูลนักเรียน'!$D11="ด.ช.",0,IF('ข้อมูลนักเรียน'!$D11="ด.ญ.",3,-99))))-1)/(INDEX('เกณฑ์WHO'!$B$2:$G$112,MATCH(ROUND(AS11*2,0)/2,'เกณฑ์WHO'!$A$2:$A$112,0),1+(IF('ข้อมูลนักเรียน'!$D11="ด.ช.",0,IF('ข้อมูลนักเรียน'!$D11="ด.ญ.",3,-99))))*INDEX('เกณฑ์WHO'!$B$2:$G$112,MATCH(ROUND(AS11*2,0)/2,'เกณฑ์WHO'!$A$2:$A$112,0),3+(IF('ข้อมูลนักเรียน'!$D11="ด.ช.",0,IF('ข้อมูลนักเรียน'!$D11="ด.ญ.",3,-99))))),"")))</f>
        <v/>
      </c>
      <c r="AY11" s="404">
        <f>IF(AW11="","",IF(OR(AW11&lt;24,AW11&gt;71,(IF('ข้อมูลนักเรียน'!$D11="ด.ช.",0,IF('ข้อมูลนักเรียน'!$D11="ด.ญ.",2,-99)))&lt;0),"",IFERROR((AS11/INDEX('เกณฑ์WHO'!$J$2:$M$61,MATCH(AW11,'เกณฑ์WHO'!$I$2:$I$61,0),1+(IF('ข้อมูลนักเรียน'!$D11="ด.ช.",0,IF('ข้อมูลนักเรียน'!$D11="ด.ญ.",2,-99))))-1)/INDEX('เกณฑ์WHO'!$J$2:$M$61,MATCH(AW11,'เกณฑ์WHO'!$I$2:$I$61,0),2+(IF('ข้อมูลนักเรียน'!$D11="ด.ช.",0,IF('ข้อมูลนักเรียน'!$D11="ด.ญ.",2,-99)))),"")))</f>
        <v/>
      </c>
      <c r="AZ11" s="401" t="n"/>
      <c r="BA11" s="402" t="n"/>
      <c r="BB11" s="403">
        <f>IF(OR(AZ11="",BA11=""),"",ROUND(AZ11/(BA11/100)^2,1))</f>
        <v/>
      </c>
      <c r="BC11" s="232">
        <f>IF(OR($B11="",AZ11="",BA11=""),"",IF(BF11="","ตรวจสอบข้อมูล",IF(BF11&lt;-2,"ผอม",IF(BF11&lt;-1.5,"ค่อนข้างผอม",IF(BF11&lt;=1.5,"สมส่วน",IF(BF11&lt;=2,"ท้วม",IF(BF11&lt;=3,"เริ่มอ้วน","อ้วน")))))))</f>
        <v/>
      </c>
      <c r="BD11" s="232">
        <f>IF(OR($B11="",AZ11="",BA11=""),"",IF(BG11="","ตรวจสอบข้อมูล",IF(BG11&lt;-2,"เตี้ย",IF(BG11&lt;-1.5,"ค่อนข้างเตี้ย",IF(BG11&lt;=1.5,"ตามเกณฑ์",IF(BG11&lt;=2,"ค่อนข้างสูง","สูง"))))))</f>
        <v/>
      </c>
      <c r="BE11" s="404">
        <f>IF(OR($B11="",AZ11="",BA11="",'ข้อมูลนักเรียน'!$S11=""),"",IFERROR(DATEDIF('ข้อมูลนักเรียน'!$S11,DATE('ข้อมูลโรงเรียน'!$C$12-543,11,IF($BB$6="",15,$BB$6)),"m"),""))</f>
        <v/>
      </c>
      <c r="BF11" s="404">
        <f>IF(BE11="","",IF(OR(BE11&lt;24,BE11&gt;71,BA11&lt;65,BA11&gt;120,(IF('ข้อมูลนักเรียน'!$D11="ด.ช.",0,IF('ข้อมูลนักเรียน'!$D11="ด.ญ.",3,-99)))&lt;0),"",IFERROR(((AZ11/INDEX('เกณฑ์WHO'!$B$2:$G$112,MATCH(ROUND(BA11*2,0)/2,'เกณฑ์WHO'!$A$2:$A$112,0),2+(IF('ข้อมูลนักเรียน'!$D11="ด.ช.",0,IF('ข้อมูลนักเรียน'!$D11="ด.ญ.",3,-99)))))^INDEX('เกณฑ์WHO'!$B$2:$G$112,MATCH(ROUND(BA11*2,0)/2,'เกณฑ์WHO'!$A$2:$A$112,0),1+(IF('ข้อมูลนักเรียน'!$D11="ด.ช.",0,IF('ข้อมูลนักเรียน'!$D11="ด.ญ.",3,-99))))-1)/(INDEX('เกณฑ์WHO'!$B$2:$G$112,MATCH(ROUND(BA11*2,0)/2,'เกณฑ์WHO'!$A$2:$A$112,0),1+(IF('ข้อมูลนักเรียน'!$D11="ด.ช.",0,IF('ข้อมูลนักเรียน'!$D11="ด.ญ.",3,-99))))*INDEX('เกณฑ์WHO'!$B$2:$G$112,MATCH(ROUND(BA11*2,0)/2,'เกณฑ์WHO'!$A$2:$A$112,0),3+(IF('ข้อมูลนักเรียน'!$D11="ด.ช.",0,IF('ข้อมูลนักเรียน'!$D11="ด.ญ.",3,-99))))),"")))</f>
        <v/>
      </c>
      <c r="BG11" s="404">
        <f>IF(BE11="","",IF(OR(BE11&lt;24,BE11&gt;71,(IF('ข้อมูลนักเรียน'!$D11="ด.ช.",0,IF('ข้อมูลนักเรียน'!$D11="ด.ญ.",2,-99)))&lt;0),"",IFERROR((BA11/INDEX('เกณฑ์WHO'!$J$2:$M$61,MATCH(BE11,'เกณฑ์WHO'!$I$2:$I$61,0),1+(IF('ข้อมูลนักเรียน'!$D11="ด.ช.",0,IF('ข้อมูลนักเรียน'!$D11="ด.ญ.",2,-99))))-1)/INDEX('เกณฑ์WHO'!$J$2:$M$61,MATCH(BE11,'เกณฑ์WHO'!$I$2:$I$61,0),2+(IF('ข้อมูลนักเรียน'!$D11="ด.ช.",0,IF('ข้อมูลนักเรียน'!$D11="ด.ญ.",2,-99)))),"")))</f>
        <v/>
      </c>
      <c r="BH11" s="401" t="n"/>
      <c r="BI11" s="402" t="n"/>
      <c r="BJ11" s="403">
        <f>IF(OR(BH11="",BI11=""),"",ROUND(BH11/(BI11/100)^2,1))</f>
        <v/>
      </c>
      <c r="BK11" s="232">
        <f>IF(OR($B11="",BH11="",BI11=""),"",IF(BN11="","ตรวจสอบข้อมูล",IF(BN11&lt;-2,"ผอม",IF(BN11&lt;-1.5,"ค่อนข้างผอม",IF(BN11&lt;=1.5,"สมส่วน",IF(BN11&lt;=2,"ท้วม",IF(BN11&lt;=3,"เริ่มอ้วน","อ้วน")))))))</f>
        <v/>
      </c>
      <c r="BL11" s="232">
        <f>IF(OR($B11="",BH11="",BI11=""),"",IF(BO11="","ตรวจสอบข้อมูล",IF(BO11&lt;-2,"เตี้ย",IF(BO11&lt;-1.5,"ค่อนข้างเตี้ย",IF(BO11&lt;=1.5,"ตามเกณฑ์",IF(BO11&lt;=2,"ค่อนข้างสูง","สูง"))))))</f>
        <v/>
      </c>
      <c r="BM11" s="404">
        <f>IF(OR($B11="",BH11="",BI11="",'ข้อมูลนักเรียน'!$S11=""),"",IFERROR(DATEDIF('ข้อมูลนักเรียน'!$S11,DATE('ข้อมูลโรงเรียน'!$C$12-543,12,IF($BJ$6="",15,$BJ$6)),"m"),""))</f>
        <v/>
      </c>
      <c r="BN11" s="404">
        <f>IF(BM11="","",IF(OR(BM11&lt;24,BM11&gt;71,BI11&lt;65,BI11&gt;120,(IF('ข้อมูลนักเรียน'!$D11="ด.ช.",0,IF('ข้อมูลนักเรียน'!$D11="ด.ญ.",3,-99)))&lt;0),"",IFERROR(((BH11/INDEX('เกณฑ์WHO'!$B$2:$G$112,MATCH(ROUND(BI11*2,0)/2,'เกณฑ์WHO'!$A$2:$A$112,0),2+(IF('ข้อมูลนักเรียน'!$D11="ด.ช.",0,IF('ข้อมูลนักเรียน'!$D11="ด.ญ.",3,-99)))))^INDEX('เกณฑ์WHO'!$B$2:$G$112,MATCH(ROUND(BI11*2,0)/2,'เกณฑ์WHO'!$A$2:$A$112,0),1+(IF('ข้อมูลนักเรียน'!$D11="ด.ช.",0,IF('ข้อมูลนักเรียน'!$D11="ด.ญ.",3,-99))))-1)/(INDEX('เกณฑ์WHO'!$B$2:$G$112,MATCH(ROUND(BI11*2,0)/2,'เกณฑ์WHO'!$A$2:$A$112,0),1+(IF('ข้อมูลนักเรียน'!$D11="ด.ช.",0,IF('ข้อมูลนักเรียน'!$D11="ด.ญ.",3,-99))))*INDEX('เกณฑ์WHO'!$B$2:$G$112,MATCH(ROUND(BI11*2,0)/2,'เกณฑ์WHO'!$A$2:$A$112,0),3+(IF('ข้อมูลนักเรียน'!$D11="ด.ช.",0,IF('ข้อมูลนักเรียน'!$D11="ด.ญ.",3,-99))))),"")))</f>
        <v/>
      </c>
      <c r="BO11" s="404">
        <f>IF(BM11="","",IF(OR(BM11&lt;24,BM11&gt;71,(IF('ข้อมูลนักเรียน'!$D11="ด.ช.",0,IF('ข้อมูลนักเรียน'!$D11="ด.ญ.",2,-99)))&lt;0),"",IFERROR((BI11/INDEX('เกณฑ์WHO'!$J$2:$M$61,MATCH(BM11,'เกณฑ์WHO'!$I$2:$I$61,0),1+(IF('ข้อมูลนักเรียน'!$D11="ด.ช.",0,IF('ข้อมูลนักเรียน'!$D11="ด.ญ.",2,-99))))-1)/INDEX('เกณฑ์WHO'!$J$2:$M$61,MATCH(BM11,'เกณฑ์WHO'!$I$2:$I$61,0),2+(IF('ข้อมูลนักเรียน'!$D11="ด.ช.",0,IF('ข้อมูลนักเรียน'!$D11="ด.ญ.",2,-99)))),"")))</f>
        <v/>
      </c>
      <c r="BP11" s="401" t="n"/>
      <c r="BQ11" s="402" t="n"/>
      <c r="BR11" s="403">
        <f>IF(OR(BP11="",BQ11=""),"",ROUND(BP11/(BQ11/100)^2,1))</f>
        <v/>
      </c>
      <c r="BS11" s="232">
        <f>IF(OR($B11="",BP11="",BQ11=""),"",IF(BV11="","ตรวจสอบข้อมูล",IF(BV11&lt;-2,"ผอม",IF(BV11&lt;-1.5,"ค่อนข้างผอม",IF(BV11&lt;=1.5,"สมส่วน",IF(BV11&lt;=2,"ท้วม",IF(BV11&lt;=3,"เริ่มอ้วน","อ้วน")))))))</f>
        <v/>
      </c>
      <c r="BT11" s="232">
        <f>IF(OR($B11="",BP11="",BQ11=""),"",IF(BW11="","ตรวจสอบข้อมูล",IF(BW11&lt;-2,"เตี้ย",IF(BW11&lt;-1.5,"ค่อนข้างเตี้ย",IF(BW11&lt;=1.5,"ตามเกณฑ์",IF(BW11&lt;=2,"ค่อนข้างสูง","สูง"))))))</f>
        <v/>
      </c>
      <c r="BU11" s="404">
        <f>IF(OR($B11="",BP11="",BQ11="",'ข้อมูลนักเรียน'!$S11=""),"",IFERROR(DATEDIF('ข้อมูลนักเรียน'!$S11,DATE('ข้อมูลโรงเรียน'!$C$12-542,1,IF($BR$6="",15,$BR$6)),"m"),""))</f>
        <v/>
      </c>
      <c r="BV11" s="404">
        <f>IF(BU11="","",IF(OR(BU11&lt;24,BU11&gt;71,BQ11&lt;65,BQ11&gt;120,(IF('ข้อมูลนักเรียน'!$D11="ด.ช.",0,IF('ข้อมูลนักเรียน'!$D11="ด.ญ.",3,-99)))&lt;0),"",IFERROR(((BP11/INDEX('เกณฑ์WHO'!$B$2:$G$112,MATCH(ROUND(BQ11*2,0)/2,'เกณฑ์WHO'!$A$2:$A$112,0),2+(IF('ข้อมูลนักเรียน'!$D11="ด.ช.",0,IF('ข้อมูลนักเรียน'!$D11="ด.ญ.",3,-99)))))^INDEX('เกณฑ์WHO'!$B$2:$G$112,MATCH(ROUND(BQ11*2,0)/2,'เกณฑ์WHO'!$A$2:$A$112,0),1+(IF('ข้อมูลนักเรียน'!$D11="ด.ช.",0,IF('ข้อมูลนักเรียน'!$D11="ด.ญ.",3,-99))))-1)/(INDEX('เกณฑ์WHO'!$B$2:$G$112,MATCH(ROUND(BQ11*2,0)/2,'เกณฑ์WHO'!$A$2:$A$112,0),1+(IF('ข้อมูลนักเรียน'!$D11="ด.ช.",0,IF('ข้อมูลนักเรียน'!$D11="ด.ญ.",3,-99))))*INDEX('เกณฑ์WHO'!$B$2:$G$112,MATCH(ROUND(BQ11*2,0)/2,'เกณฑ์WHO'!$A$2:$A$112,0),3+(IF('ข้อมูลนักเรียน'!$D11="ด.ช.",0,IF('ข้อมูลนักเรียน'!$D11="ด.ญ.",3,-99))))),"")))</f>
        <v/>
      </c>
      <c r="BW11" s="404">
        <f>IF(BU11="","",IF(OR(BU11&lt;24,BU11&gt;71,(IF('ข้อมูลนักเรียน'!$D11="ด.ช.",0,IF('ข้อมูลนักเรียน'!$D11="ด.ญ.",2,-99)))&lt;0),"",IFERROR((BQ11/INDEX('เกณฑ์WHO'!$J$2:$M$61,MATCH(BU11,'เกณฑ์WHO'!$I$2:$I$61,0),1+(IF('ข้อมูลนักเรียน'!$D11="ด.ช.",0,IF('ข้อมูลนักเรียน'!$D11="ด.ญ.",2,-99))))-1)/INDEX('เกณฑ์WHO'!$J$2:$M$61,MATCH(BU11,'เกณฑ์WHO'!$I$2:$I$61,0),2+(IF('ข้อมูลนักเรียน'!$D11="ด.ช.",0,IF('ข้อมูลนักเรียน'!$D11="ด.ญ.",2,-99)))),"")))</f>
        <v/>
      </c>
      <c r="BX11" s="401" t="n"/>
      <c r="BY11" s="402" t="n"/>
      <c r="BZ11" s="403">
        <f>IF(OR(BX11="",BY11=""),"",ROUND(BX11/(BY11/100)^2,1))</f>
        <v/>
      </c>
      <c r="CA11" s="232">
        <f>IF(OR($B11="",BX11="",BY11=""),"",IF(CD11="","ตรวจสอบข้อมูล",IF(CD11&lt;-2,"ผอม",IF(CD11&lt;-1.5,"ค่อนข้างผอม",IF(CD11&lt;=1.5,"สมส่วน",IF(CD11&lt;=2,"ท้วม",IF(CD11&lt;=3,"เริ่มอ้วน","อ้วน")))))))</f>
        <v/>
      </c>
      <c r="CB11" s="232">
        <f>IF(OR($B11="",BX11="",BY11=""),"",IF(CE11="","ตรวจสอบข้อมูล",IF(CE11&lt;-2,"เตี้ย",IF(CE11&lt;-1.5,"ค่อนข้างเตี้ย",IF(CE11&lt;=1.5,"ตามเกณฑ์",IF(CE11&lt;=2,"ค่อนข้างสูง","สูง"))))))</f>
        <v/>
      </c>
      <c r="CC11" s="404">
        <f>IF(OR($B11="",BX11="",BY11="",'ข้อมูลนักเรียน'!$S11=""),"",IFERROR(DATEDIF('ข้อมูลนักเรียน'!$S11,DATE('ข้อมูลโรงเรียน'!$C$12-542,2,IF($BZ$6="",15,$BZ$6)),"m"),""))</f>
        <v/>
      </c>
      <c r="CD11" s="404">
        <f>IF(CC11="","",IF(OR(CC11&lt;24,CC11&gt;71,BY11&lt;65,BY11&gt;120,(IF('ข้อมูลนักเรียน'!$D11="ด.ช.",0,IF('ข้อมูลนักเรียน'!$D11="ด.ญ.",3,-99)))&lt;0),"",IFERROR(((BX11/INDEX('เกณฑ์WHO'!$B$2:$G$112,MATCH(ROUND(BY11*2,0)/2,'เกณฑ์WHO'!$A$2:$A$112,0),2+(IF('ข้อมูลนักเรียน'!$D11="ด.ช.",0,IF('ข้อมูลนักเรียน'!$D11="ด.ญ.",3,-99)))))^INDEX('เกณฑ์WHO'!$B$2:$G$112,MATCH(ROUND(BY11*2,0)/2,'เกณฑ์WHO'!$A$2:$A$112,0),1+(IF('ข้อมูลนักเรียน'!$D11="ด.ช.",0,IF('ข้อมูลนักเรียน'!$D11="ด.ญ.",3,-99))))-1)/(INDEX('เกณฑ์WHO'!$B$2:$G$112,MATCH(ROUND(BY11*2,0)/2,'เกณฑ์WHO'!$A$2:$A$112,0),1+(IF('ข้อมูลนักเรียน'!$D11="ด.ช.",0,IF('ข้อมูลนักเรียน'!$D11="ด.ญ.",3,-99))))*INDEX('เกณฑ์WHO'!$B$2:$G$112,MATCH(ROUND(BY11*2,0)/2,'เกณฑ์WHO'!$A$2:$A$112,0),3+(IF('ข้อมูลนักเรียน'!$D11="ด.ช.",0,IF('ข้อมูลนักเรียน'!$D11="ด.ญ.",3,-99))))),"")))</f>
        <v/>
      </c>
      <c r="CE11" s="404">
        <f>IF(CC11="","",IF(OR(CC11&lt;24,CC11&gt;71,(IF('ข้อมูลนักเรียน'!$D11="ด.ช.",0,IF('ข้อมูลนักเรียน'!$D11="ด.ญ.",2,-99)))&lt;0),"",IFERROR((BY11/INDEX('เกณฑ์WHO'!$J$2:$M$61,MATCH(CC11,'เกณฑ์WHO'!$I$2:$I$61,0),1+(IF('ข้อมูลนักเรียน'!$D11="ด.ช.",0,IF('ข้อมูลนักเรียน'!$D11="ด.ญ.",2,-99))))-1)/INDEX('เกณฑ์WHO'!$J$2:$M$61,MATCH(CC11,'เกณฑ์WHO'!$I$2:$I$61,0),2+(IF('ข้อมูลนักเรียน'!$D11="ด.ช.",0,IF('ข้อมูลนักเรียน'!$D11="ด.ญ.",2,-99)))),"")))</f>
        <v/>
      </c>
      <c r="CF11" s="401" t="n"/>
      <c r="CG11" s="402" t="n"/>
      <c r="CH11" s="403">
        <f>IF(OR(CF11="",CG11=""),"",ROUND(CF11/(CG11/100)^2,1))</f>
        <v/>
      </c>
      <c r="CI11" s="232">
        <f>IF(OR($B11="",CF11="",CG11=""),"",IF(CL11="","ตรวจสอบข้อมูล",IF(CL11&lt;-2,"ผอม",IF(CL11&lt;-1.5,"ค่อนข้างผอม",IF(CL11&lt;=1.5,"สมส่วน",IF(CL11&lt;=2,"ท้วม",IF(CL11&lt;=3,"เริ่มอ้วน","อ้วน")))))))</f>
        <v/>
      </c>
      <c r="CJ11" s="232">
        <f>IF(OR($B11="",CF11="",CG11=""),"",IF(CM11="","ตรวจสอบข้อมูล",IF(CM11&lt;-2,"เตี้ย",IF(CM11&lt;-1.5,"ค่อนข้างเตี้ย",IF(CM11&lt;=1.5,"ตามเกณฑ์",IF(CM11&lt;=2,"ค่อนข้างสูง","สูง"))))))</f>
        <v/>
      </c>
      <c r="CK11" s="404">
        <f>IF(OR($B11="",CF11="",CG11="",'ข้อมูลนักเรียน'!$S11=""),"",IFERROR(DATEDIF('ข้อมูลนักเรียน'!$S11,DATE('ข้อมูลโรงเรียน'!$C$12-542,3,IF($CH$6="",15,$CH$6)),"m"),""))</f>
        <v/>
      </c>
      <c r="CL11" s="404">
        <f>IF(CK11="","",IF(OR(CK11&lt;24,CK11&gt;71,CG11&lt;65,CG11&gt;120,(IF('ข้อมูลนักเรียน'!$D11="ด.ช.",0,IF('ข้อมูลนักเรียน'!$D11="ด.ญ.",3,-99)))&lt;0),"",IFERROR(((CF11/INDEX('เกณฑ์WHO'!$B$2:$G$112,MATCH(ROUND(CG11*2,0)/2,'เกณฑ์WHO'!$A$2:$A$112,0),2+(IF('ข้อมูลนักเรียน'!$D11="ด.ช.",0,IF('ข้อมูลนักเรียน'!$D11="ด.ญ.",3,-99)))))^INDEX('เกณฑ์WHO'!$B$2:$G$112,MATCH(ROUND(CG11*2,0)/2,'เกณฑ์WHO'!$A$2:$A$112,0),1+(IF('ข้อมูลนักเรียน'!$D11="ด.ช.",0,IF('ข้อมูลนักเรียน'!$D11="ด.ญ.",3,-99))))-1)/(INDEX('เกณฑ์WHO'!$B$2:$G$112,MATCH(ROUND(CG11*2,0)/2,'เกณฑ์WHO'!$A$2:$A$112,0),1+(IF('ข้อมูลนักเรียน'!$D11="ด.ช.",0,IF('ข้อมูลนักเรียน'!$D11="ด.ญ.",3,-99))))*INDEX('เกณฑ์WHO'!$B$2:$G$112,MATCH(ROUND(CG11*2,0)/2,'เกณฑ์WHO'!$A$2:$A$112,0),3+(IF('ข้อมูลนักเรียน'!$D11="ด.ช.",0,IF('ข้อมูลนักเรียน'!$D11="ด.ญ.",3,-99))))),"")))</f>
        <v/>
      </c>
      <c r="CM11" s="404">
        <f>IF(CK11="","",IF(OR(CK11&lt;24,CK11&gt;71,(IF('ข้อมูลนักเรียน'!$D11="ด.ช.",0,IF('ข้อมูลนักเรียน'!$D11="ด.ญ.",2,-99)))&lt;0),"",IFERROR((CG11/INDEX('เกณฑ์WHO'!$J$2:$M$61,MATCH(CK11,'เกณฑ์WHO'!$I$2:$I$61,0),1+(IF('ข้อมูลนักเรียน'!$D11="ด.ช.",0,IF('ข้อมูลนักเรียน'!$D11="ด.ญ.",2,-99))))-1)/INDEX('เกณฑ์WHO'!$J$2:$M$61,MATCH(CK11,'เกณฑ์WHO'!$I$2:$I$61,0),2+(IF('ข้อมูลนักเรียน'!$D11="ด.ช.",0,IF('ข้อมูลนักเรียน'!$D11="ด.ญ.",2,-99)))),"")))</f>
        <v/>
      </c>
      <c r="CO11">
        <f>IF(N(AR11)&gt;0,AR11,IF(N(AJ11)&gt;0,AJ11,IF(N(AB11)&gt;0,AB11,IF(N(T11)&gt;0,T11,IF(N(L11)&gt;0,L11,IF(N(D11)&gt;0,D11,""))))))</f>
        <v/>
      </c>
      <c r="CP11">
        <f>IF(N(AR11)&gt;0,AS11,IF(N(AJ11)&gt;0,AK11,IF(N(AB11)&gt;0,AC11,IF(N(T11)&gt;0,U11,IF(N(L11)&gt;0,M11,IF(N(D11)&gt;0,E11,""))))))</f>
        <v/>
      </c>
      <c r="CQ11">
        <f>IF(N(AR11)&gt;0,AU11,IF(N(AJ11)&gt;0,AM11,IF(N(AB11)&gt;0,AE11,IF(N(T11)&gt;0,W11,IF(N(L11)&gt;0,O11,IF(N(D11)&gt;0,G11,""))))))</f>
        <v/>
      </c>
      <c r="CR11">
        <f>IF(N(AR11)&gt;0,AV11,IF(N(AJ11)&gt;0,AN11,IF(N(AB11)&gt;0,AF11,IF(N(T11)&gt;0,X11,IF(N(L11)&gt;0,P11,IF(N(D11)&gt;0,H11,""))))))</f>
        <v/>
      </c>
      <c r="CS11">
        <f>IF(N(AR11)&gt;0,"ตุลาคม",IF(N(AJ11)&gt;0,"กันยายน",IF(N(AB11)&gt;0,"สิงหาคม",IF(N(T11)&gt;0,"กรกฎาคม",IF(N(L11)&gt;0,"มิถุนายน",IF(N(D11)&gt;0,"พฤษภาคม",""))))))</f>
        <v/>
      </c>
      <c r="CT11">
        <f>IF(N(CF11)&gt;0,CF11,IF(N(BX11)&gt;0,BX11,IF(N(BP11)&gt;0,BP11,IF(N(BH11)&gt;0,BH11,IF(N(AZ11)&gt;0,AZ11,"")))))</f>
        <v/>
      </c>
      <c r="CU11">
        <f>IF(N(CF11)&gt;0,CG11,IF(N(BX11)&gt;0,BY11,IF(N(BP11)&gt;0,BQ11,IF(N(BH11)&gt;0,BI11,IF(N(AZ11)&gt;0,BA11,"")))))</f>
        <v/>
      </c>
      <c r="CV11">
        <f>IF(N(CF11)&gt;0,CI11,IF(N(BX11)&gt;0,CA11,IF(N(BP11)&gt;0,BS11,IF(N(BH11)&gt;0,BK11,IF(N(AZ11)&gt;0,BC11,"")))))</f>
        <v/>
      </c>
      <c r="CW11">
        <f>IF(N(CF11)&gt;0,CJ11,IF(N(BX11)&gt;0,CB11,IF(N(BP11)&gt;0,BT11,IF(N(BH11)&gt;0,BL11,IF(N(AZ11)&gt;0,BD11,"")))))</f>
        <v/>
      </c>
      <c r="CX11">
        <f>IF(N(CF11)&gt;0,"มีนาคม",IF(N(BX11)&gt;0,"กุมภาพันธ์",IF(N(BP11)&gt;0,"มกราคม",IF(N(BH11)&gt;0,"ธันวาคม",IF(N(AZ11)&gt;0,"พฤศจิกายน","")))))</f>
        <v/>
      </c>
    </row>
    <row r="12">
      <c r="A12" s="226" t="n">
        <v>4</v>
      </c>
      <c r="B12" s="227">
        <f>'ข้อมูลนักเรียน'!T12</f>
        <v/>
      </c>
      <c r="C12" s="400">
        <f>IF(B12="","",IF('ข้อมูลนักเรียน'!D12="ด.ช.","ชาย",IF('ข้อมูลนักเรียน'!D12="ด.ญ.","หญิง",""))&amp;CHAR(10)&amp;'ข้อมูลนักเรียน'!K12)</f>
        <v/>
      </c>
      <c r="D12" s="401" t="n"/>
      <c r="E12" s="402" t="n"/>
      <c r="F12" s="403">
        <f>IF(OR(D12="",E12=""),"",ROUND(D12/(E12/100)^2,1))</f>
        <v/>
      </c>
      <c r="G12" s="232">
        <f>IF(OR($B12="",D12="",E12=""),"",IF(J12="","ตรวจสอบข้อมูล",IF(J12&lt;-2,"ผอม",IF(J12&lt;-1.5,"ค่อนข้างผอม",IF(J12&lt;=1.5,"สมส่วน",IF(J12&lt;=2,"ท้วม",IF(J12&lt;=3,"เริ่มอ้วน","อ้วน")))))))</f>
        <v/>
      </c>
      <c r="H12" s="232">
        <f>IF(OR($B12="",D12="",E12=""),"",IF(K12="","ตรวจสอบข้อมูล",IF(K12&lt;-2,"เตี้ย",IF(K12&lt;-1.5,"ค่อนข้างเตี้ย",IF(K12&lt;=1.5,"ตามเกณฑ์",IF(K12&lt;=2,"ค่อนข้างสูง","สูง"))))))</f>
        <v/>
      </c>
      <c r="I12" s="404">
        <f>IF(OR($B12="",D12="",E12="",'ข้อมูลนักเรียน'!$S12=""),"",IFERROR(DATEDIF('ข้อมูลนักเรียน'!$S12,DATE('ข้อมูลโรงเรียน'!$C$12-543,5,IF($F$6="",15,$F$6)),"m"),""))</f>
        <v/>
      </c>
      <c r="J12" s="404">
        <f>IF(I12="","",IF(OR(I12&lt;24,I12&gt;71,E12&lt;65,E12&gt;120,(IF('ข้อมูลนักเรียน'!$D12="ด.ช.",0,IF('ข้อมูลนักเรียน'!$D12="ด.ญ.",3,-99)))&lt;0),"",IFERROR(((D12/INDEX('เกณฑ์WHO'!$B$2:$G$112,MATCH(ROUND(E12*2,0)/2,'เกณฑ์WHO'!$A$2:$A$112,0),2+(IF('ข้อมูลนักเรียน'!$D12="ด.ช.",0,IF('ข้อมูลนักเรียน'!$D12="ด.ญ.",3,-99)))))^INDEX('เกณฑ์WHO'!$B$2:$G$112,MATCH(ROUND(E12*2,0)/2,'เกณฑ์WHO'!$A$2:$A$112,0),1+(IF('ข้อมูลนักเรียน'!$D12="ด.ช.",0,IF('ข้อมูลนักเรียน'!$D12="ด.ญ.",3,-99))))-1)/(INDEX('เกณฑ์WHO'!$B$2:$G$112,MATCH(ROUND(E12*2,0)/2,'เกณฑ์WHO'!$A$2:$A$112,0),1+(IF('ข้อมูลนักเรียน'!$D12="ด.ช.",0,IF('ข้อมูลนักเรียน'!$D12="ด.ญ.",3,-99))))*INDEX('เกณฑ์WHO'!$B$2:$G$112,MATCH(ROUND(E12*2,0)/2,'เกณฑ์WHO'!$A$2:$A$112,0),3+(IF('ข้อมูลนักเรียน'!$D12="ด.ช.",0,IF('ข้อมูลนักเรียน'!$D12="ด.ญ.",3,-99))))),"")))</f>
        <v/>
      </c>
      <c r="K12" s="404">
        <f>IF(I12="","",IF(OR(I12&lt;24,I12&gt;71,(IF('ข้อมูลนักเรียน'!$D12="ด.ช.",0,IF('ข้อมูลนักเรียน'!$D12="ด.ญ.",2,-99)))&lt;0),"",IFERROR((E12/INDEX('เกณฑ์WHO'!$J$2:$M$61,MATCH(I12,'เกณฑ์WHO'!$I$2:$I$61,0),1+(IF('ข้อมูลนักเรียน'!$D12="ด.ช.",0,IF('ข้อมูลนักเรียน'!$D12="ด.ญ.",2,-99))))-1)/INDEX('เกณฑ์WHO'!$J$2:$M$61,MATCH(I12,'เกณฑ์WHO'!$I$2:$I$61,0),2+(IF('ข้อมูลนักเรียน'!$D12="ด.ช.",0,IF('ข้อมูลนักเรียน'!$D12="ด.ญ.",2,-99)))),"")))</f>
        <v/>
      </c>
      <c r="L12" s="401" t="n"/>
      <c r="M12" s="402" t="n"/>
      <c r="N12" s="403">
        <f>IF(OR(L12="",M12=""),"",ROUND(L12/(M12/100)^2,1))</f>
        <v/>
      </c>
      <c r="O12" s="232">
        <f>IF(OR($B12="",L12="",M12=""),"",IF(R12="","ตรวจสอบข้อมูล",IF(R12&lt;-2,"ผอม",IF(R12&lt;-1.5,"ค่อนข้างผอม",IF(R12&lt;=1.5,"สมส่วน",IF(R12&lt;=2,"ท้วม",IF(R12&lt;=3,"เริ่มอ้วน","อ้วน")))))))</f>
        <v/>
      </c>
      <c r="P12" s="232">
        <f>IF(OR($B12="",L12="",M12=""),"",IF(S12="","ตรวจสอบข้อมูล",IF(S12&lt;-2,"เตี้ย",IF(S12&lt;-1.5,"ค่อนข้างเตี้ย",IF(S12&lt;=1.5,"ตามเกณฑ์",IF(S12&lt;=2,"ค่อนข้างสูง","สูง"))))))</f>
        <v/>
      </c>
      <c r="Q12" s="404">
        <f>IF(OR($B12="",L12="",M12="",'ข้อมูลนักเรียน'!$S12=""),"",IFERROR(DATEDIF('ข้อมูลนักเรียน'!$S12,DATE('ข้อมูลโรงเรียน'!$C$12-543,6,IF($N$6="",15,$N$6)),"m"),""))</f>
        <v/>
      </c>
      <c r="R12" s="404">
        <f>IF(Q12="","",IF(OR(Q12&lt;24,Q12&gt;71,M12&lt;65,M12&gt;120,(IF('ข้อมูลนักเรียน'!$D12="ด.ช.",0,IF('ข้อมูลนักเรียน'!$D12="ด.ญ.",3,-99)))&lt;0),"",IFERROR(((L12/INDEX('เกณฑ์WHO'!$B$2:$G$112,MATCH(ROUND(M12*2,0)/2,'เกณฑ์WHO'!$A$2:$A$112,0),2+(IF('ข้อมูลนักเรียน'!$D12="ด.ช.",0,IF('ข้อมูลนักเรียน'!$D12="ด.ญ.",3,-99)))))^INDEX('เกณฑ์WHO'!$B$2:$G$112,MATCH(ROUND(M12*2,0)/2,'เกณฑ์WHO'!$A$2:$A$112,0),1+(IF('ข้อมูลนักเรียน'!$D12="ด.ช.",0,IF('ข้อมูลนักเรียน'!$D12="ด.ญ.",3,-99))))-1)/(INDEX('เกณฑ์WHO'!$B$2:$G$112,MATCH(ROUND(M12*2,0)/2,'เกณฑ์WHO'!$A$2:$A$112,0),1+(IF('ข้อมูลนักเรียน'!$D12="ด.ช.",0,IF('ข้อมูลนักเรียน'!$D12="ด.ญ.",3,-99))))*INDEX('เกณฑ์WHO'!$B$2:$G$112,MATCH(ROUND(M12*2,0)/2,'เกณฑ์WHO'!$A$2:$A$112,0),3+(IF('ข้อมูลนักเรียน'!$D12="ด.ช.",0,IF('ข้อมูลนักเรียน'!$D12="ด.ญ.",3,-99))))),"")))</f>
        <v/>
      </c>
      <c r="S12" s="404">
        <f>IF(Q12="","",IF(OR(Q12&lt;24,Q12&gt;71,(IF('ข้อมูลนักเรียน'!$D12="ด.ช.",0,IF('ข้อมูลนักเรียน'!$D12="ด.ญ.",2,-99)))&lt;0),"",IFERROR((M12/INDEX('เกณฑ์WHO'!$J$2:$M$61,MATCH(Q12,'เกณฑ์WHO'!$I$2:$I$61,0),1+(IF('ข้อมูลนักเรียน'!$D12="ด.ช.",0,IF('ข้อมูลนักเรียน'!$D12="ด.ญ.",2,-99))))-1)/INDEX('เกณฑ์WHO'!$J$2:$M$61,MATCH(Q12,'เกณฑ์WHO'!$I$2:$I$61,0),2+(IF('ข้อมูลนักเรียน'!$D12="ด.ช.",0,IF('ข้อมูลนักเรียน'!$D12="ด.ญ.",2,-99)))),"")))</f>
        <v/>
      </c>
      <c r="T12" s="401" t="n"/>
      <c r="U12" s="402" t="n"/>
      <c r="V12" s="403">
        <f>IF(OR(T12="",U12=""),"",ROUND(T12/(U12/100)^2,1))</f>
        <v/>
      </c>
      <c r="W12" s="232">
        <f>IF(OR($B12="",T12="",U12=""),"",IF(Z12="","ตรวจสอบข้อมูล",IF(Z12&lt;-2,"ผอม",IF(Z12&lt;-1.5,"ค่อนข้างผอม",IF(Z12&lt;=1.5,"สมส่วน",IF(Z12&lt;=2,"ท้วม",IF(Z12&lt;=3,"เริ่มอ้วน","อ้วน")))))))</f>
        <v/>
      </c>
      <c r="X12" s="232">
        <f>IF(OR($B12="",T12="",U12=""),"",IF(AA12="","ตรวจสอบข้อมูล",IF(AA12&lt;-2,"เตี้ย",IF(AA12&lt;-1.5,"ค่อนข้างเตี้ย",IF(AA12&lt;=1.5,"ตามเกณฑ์",IF(AA12&lt;=2,"ค่อนข้างสูง","สูง"))))))</f>
        <v/>
      </c>
      <c r="Y12" s="404">
        <f>IF(OR($B12="",T12="",U12="",'ข้อมูลนักเรียน'!$S12=""),"",IFERROR(DATEDIF('ข้อมูลนักเรียน'!$S12,DATE('ข้อมูลโรงเรียน'!$C$12-543,7,IF($V$6="",15,$V$6)),"m"),""))</f>
        <v/>
      </c>
      <c r="Z12" s="404">
        <f>IF(Y12="","",IF(OR(Y12&lt;24,Y12&gt;71,U12&lt;65,U12&gt;120,(IF('ข้อมูลนักเรียน'!$D12="ด.ช.",0,IF('ข้อมูลนักเรียน'!$D12="ด.ญ.",3,-99)))&lt;0),"",IFERROR(((T12/INDEX('เกณฑ์WHO'!$B$2:$G$112,MATCH(ROUND(U12*2,0)/2,'เกณฑ์WHO'!$A$2:$A$112,0),2+(IF('ข้อมูลนักเรียน'!$D12="ด.ช.",0,IF('ข้อมูลนักเรียน'!$D12="ด.ญ.",3,-99)))))^INDEX('เกณฑ์WHO'!$B$2:$G$112,MATCH(ROUND(U12*2,0)/2,'เกณฑ์WHO'!$A$2:$A$112,0),1+(IF('ข้อมูลนักเรียน'!$D12="ด.ช.",0,IF('ข้อมูลนักเรียน'!$D12="ด.ญ.",3,-99))))-1)/(INDEX('เกณฑ์WHO'!$B$2:$G$112,MATCH(ROUND(U12*2,0)/2,'เกณฑ์WHO'!$A$2:$A$112,0),1+(IF('ข้อมูลนักเรียน'!$D12="ด.ช.",0,IF('ข้อมูลนักเรียน'!$D12="ด.ญ.",3,-99))))*INDEX('เกณฑ์WHO'!$B$2:$G$112,MATCH(ROUND(U12*2,0)/2,'เกณฑ์WHO'!$A$2:$A$112,0),3+(IF('ข้อมูลนักเรียน'!$D12="ด.ช.",0,IF('ข้อมูลนักเรียน'!$D12="ด.ญ.",3,-99))))),"")))</f>
        <v/>
      </c>
      <c r="AA12" s="404">
        <f>IF(Y12="","",IF(OR(Y12&lt;24,Y12&gt;71,(IF('ข้อมูลนักเรียน'!$D12="ด.ช.",0,IF('ข้อมูลนักเรียน'!$D12="ด.ญ.",2,-99)))&lt;0),"",IFERROR((U12/INDEX('เกณฑ์WHO'!$J$2:$M$61,MATCH(Y12,'เกณฑ์WHO'!$I$2:$I$61,0),1+(IF('ข้อมูลนักเรียน'!$D12="ด.ช.",0,IF('ข้อมูลนักเรียน'!$D12="ด.ญ.",2,-99))))-1)/INDEX('เกณฑ์WHO'!$J$2:$M$61,MATCH(Y12,'เกณฑ์WHO'!$I$2:$I$61,0),2+(IF('ข้อมูลนักเรียน'!$D12="ด.ช.",0,IF('ข้อมูลนักเรียน'!$D12="ด.ญ.",2,-99)))),"")))</f>
        <v/>
      </c>
      <c r="AB12" s="401" t="n"/>
      <c r="AC12" s="402" t="n"/>
      <c r="AD12" s="403">
        <f>IF(OR(AB12="",AC12=""),"",ROUND(AB12/(AC12/100)^2,1))</f>
        <v/>
      </c>
      <c r="AE12" s="232">
        <f>IF(OR($B12="",AB12="",AC12=""),"",IF(AH12="","ตรวจสอบข้อมูล",IF(AH12&lt;-2,"ผอม",IF(AH12&lt;-1.5,"ค่อนข้างผอม",IF(AH12&lt;=1.5,"สมส่วน",IF(AH12&lt;=2,"ท้วม",IF(AH12&lt;=3,"เริ่มอ้วน","อ้วน")))))))</f>
        <v/>
      </c>
      <c r="AF12" s="232">
        <f>IF(OR($B12="",AB12="",AC12=""),"",IF(AI12="","ตรวจสอบข้อมูล",IF(AI12&lt;-2,"เตี้ย",IF(AI12&lt;-1.5,"ค่อนข้างเตี้ย",IF(AI12&lt;=1.5,"ตามเกณฑ์",IF(AI12&lt;=2,"ค่อนข้างสูง","สูง"))))))</f>
        <v/>
      </c>
      <c r="AG12" s="404">
        <f>IF(OR($B12="",AB12="",AC12="",'ข้อมูลนักเรียน'!$S12=""),"",IFERROR(DATEDIF('ข้อมูลนักเรียน'!$S12,DATE('ข้อมูลโรงเรียน'!$C$12-543,8,IF($AD$6="",15,$AD$6)),"m"),""))</f>
        <v/>
      </c>
      <c r="AH12" s="404">
        <f>IF(AG12="","",IF(OR(AG12&lt;24,AG12&gt;71,AC12&lt;65,AC12&gt;120,(IF('ข้อมูลนักเรียน'!$D12="ด.ช.",0,IF('ข้อมูลนักเรียน'!$D12="ด.ญ.",3,-99)))&lt;0),"",IFERROR(((AB12/INDEX('เกณฑ์WHO'!$B$2:$G$112,MATCH(ROUND(AC12*2,0)/2,'เกณฑ์WHO'!$A$2:$A$112,0),2+(IF('ข้อมูลนักเรียน'!$D12="ด.ช.",0,IF('ข้อมูลนักเรียน'!$D12="ด.ญ.",3,-99)))))^INDEX('เกณฑ์WHO'!$B$2:$G$112,MATCH(ROUND(AC12*2,0)/2,'เกณฑ์WHO'!$A$2:$A$112,0),1+(IF('ข้อมูลนักเรียน'!$D12="ด.ช.",0,IF('ข้อมูลนักเรียน'!$D12="ด.ญ.",3,-99))))-1)/(INDEX('เกณฑ์WHO'!$B$2:$G$112,MATCH(ROUND(AC12*2,0)/2,'เกณฑ์WHO'!$A$2:$A$112,0),1+(IF('ข้อมูลนักเรียน'!$D12="ด.ช.",0,IF('ข้อมูลนักเรียน'!$D12="ด.ญ.",3,-99))))*INDEX('เกณฑ์WHO'!$B$2:$G$112,MATCH(ROUND(AC12*2,0)/2,'เกณฑ์WHO'!$A$2:$A$112,0),3+(IF('ข้อมูลนักเรียน'!$D12="ด.ช.",0,IF('ข้อมูลนักเรียน'!$D12="ด.ญ.",3,-99))))),"")))</f>
        <v/>
      </c>
      <c r="AI12" s="404">
        <f>IF(AG12="","",IF(OR(AG12&lt;24,AG12&gt;71,(IF('ข้อมูลนักเรียน'!$D12="ด.ช.",0,IF('ข้อมูลนักเรียน'!$D12="ด.ญ.",2,-99)))&lt;0),"",IFERROR((AC12/INDEX('เกณฑ์WHO'!$J$2:$M$61,MATCH(AG12,'เกณฑ์WHO'!$I$2:$I$61,0),1+(IF('ข้อมูลนักเรียน'!$D12="ด.ช.",0,IF('ข้อมูลนักเรียน'!$D12="ด.ญ.",2,-99))))-1)/INDEX('เกณฑ์WHO'!$J$2:$M$61,MATCH(AG12,'เกณฑ์WHO'!$I$2:$I$61,0),2+(IF('ข้อมูลนักเรียน'!$D12="ด.ช.",0,IF('ข้อมูลนักเรียน'!$D12="ด.ญ.",2,-99)))),"")))</f>
        <v/>
      </c>
      <c r="AJ12" s="401" t="n"/>
      <c r="AK12" s="402" t="n"/>
      <c r="AL12" s="403">
        <f>IF(OR(AJ12="",AK12=""),"",ROUND(AJ12/(AK12/100)^2,1))</f>
        <v/>
      </c>
      <c r="AM12" s="232">
        <f>IF(OR($B12="",AJ12="",AK12=""),"",IF(AP12="","ตรวจสอบข้อมูล",IF(AP12&lt;-2,"ผอม",IF(AP12&lt;-1.5,"ค่อนข้างผอม",IF(AP12&lt;=1.5,"สมส่วน",IF(AP12&lt;=2,"ท้วม",IF(AP12&lt;=3,"เริ่มอ้วน","อ้วน")))))))</f>
        <v/>
      </c>
      <c r="AN12" s="232">
        <f>IF(OR($B12="",AJ12="",AK12=""),"",IF(AQ12="","ตรวจสอบข้อมูล",IF(AQ12&lt;-2,"เตี้ย",IF(AQ12&lt;-1.5,"ค่อนข้างเตี้ย",IF(AQ12&lt;=1.5,"ตามเกณฑ์",IF(AQ12&lt;=2,"ค่อนข้างสูง","สูง"))))))</f>
        <v/>
      </c>
      <c r="AO12" s="404">
        <f>IF(OR($B12="",AJ12="",AK12="",'ข้อมูลนักเรียน'!$S12=""),"",IFERROR(DATEDIF('ข้อมูลนักเรียน'!$S12,DATE('ข้อมูลโรงเรียน'!$C$12-543,9,IF($AL$6="",15,$AL$6)),"m"),""))</f>
        <v/>
      </c>
      <c r="AP12" s="404">
        <f>IF(AO12="","",IF(OR(AO12&lt;24,AO12&gt;71,AK12&lt;65,AK12&gt;120,(IF('ข้อมูลนักเรียน'!$D12="ด.ช.",0,IF('ข้อมูลนักเรียน'!$D12="ด.ญ.",3,-99)))&lt;0),"",IFERROR(((AJ12/INDEX('เกณฑ์WHO'!$B$2:$G$112,MATCH(ROUND(AK12*2,0)/2,'เกณฑ์WHO'!$A$2:$A$112,0),2+(IF('ข้อมูลนักเรียน'!$D12="ด.ช.",0,IF('ข้อมูลนักเรียน'!$D12="ด.ญ.",3,-99)))))^INDEX('เกณฑ์WHO'!$B$2:$G$112,MATCH(ROUND(AK12*2,0)/2,'เกณฑ์WHO'!$A$2:$A$112,0),1+(IF('ข้อมูลนักเรียน'!$D12="ด.ช.",0,IF('ข้อมูลนักเรียน'!$D12="ด.ญ.",3,-99))))-1)/(INDEX('เกณฑ์WHO'!$B$2:$G$112,MATCH(ROUND(AK12*2,0)/2,'เกณฑ์WHO'!$A$2:$A$112,0),1+(IF('ข้อมูลนักเรียน'!$D12="ด.ช.",0,IF('ข้อมูลนักเรียน'!$D12="ด.ญ.",3,-99))))*INDEX('เกณฑ์WHO'!$B$2:$G$112,MATCH(ROUND(AK12*2,0)/2,'เกณฑ์WHO'!$A$2:$A$112,0),3+(IF('ข้อมูลนักเรียน'!$D12="ด.ช.",0,IF('ข้อมูลนักเรียน'!$D12="ด.ญ.",3,-99))))),"")))</f>
        <v/>
      </c>
      <c r="AQ12" s="404">
        <f>IF(AO12="","",IF(OR(AO12&lt;24,AO12&gt;71,(IF('ข้อมูลนักเรียน'!$D12="ด.ช.",0,IF('ข้อมูลนักเรียน'!$D12="ด.ญ.",2,-99)))&lt;0),"",IFERROR((AK12/INDEX('เกณฑ์WHO'!$J$2:$M$61,MATCH(AO12,'เกณฑ์WHO'!$I$2:$I$61,0),1+(IF('ข้อมูลนักเรียน'!$D12="ด.ช.",0,IF('ข้อมูลนักเรียน'!$D12="ด.ญ.",2,-99))))-1)/INDEX('เกณฑ์WHO'!$J$2:$M$61,MATCH(AO12,'เกณฑ์WHO'!$I$2:$I$61,0),2+(IF('ข้อมูลนักเรียน'!$D12="ด.ช.",0,IF('ข้อมูลนักเรียน'!$D12="ด.ญ.",2,-99)))),"")))</f>
        <v/>
      </c>
      <c r="AR12" s="401" t="n"/>
      <c r="AS12" s="402" t="n"/>
      <c r="AT12" s="403">
        <f>IF(OR(AR12="",AS12=""),"",ROUND(AR12/(AS12/100)^2,1))</f>
        <v/>
      </c>
      <c r="AU12" s="232">
        <f>IF(OR($B12="",AR12="",AS12=""),"",IF(AX12="","ตรวจสอบข้อมูล",IF(AX12&lt;-2,"ผอม",IF(AX12&lt;-1.5,"ค่อนข้างผอม",IF(AX12&lt;=1.5,"สมส่วน",IF(AX12&lt;=2,"ท้วม",IF(AX12&lt;=3,"เริ่มอ้วน","อ้วน")))))))</f>
        <v/>
      </c>
      <c r="AV12" s="232">
        <f>IF(OR($B12="",AR12="",AS12=""),"",IF(AY12="","ตรวจสอบข้อมูล",IF(AY12&lt;-2,"เตี้ย",IF(AY12&lt;-1.5,"ค่อนข้างเตี้ย",IF(AY12&lt;=1.5,"ตามเกณฑ์",IF(AY12&lt;=2,"ค่อนข้างสูง","สูง"))))))</f>
        <v/>
      </c>
      <c r="AW12" s="404">
        <f>IF(OR($B12="",AR12="",AS12="",'ข้อมูลนักเรียน'!$S12=""),"",IFERROR(DATEDIF('ข้อมูลนักเรียน'!$S12,DATE('ข้อมูลโรงเรียน'!$C$12-543,10,IF($AT$6="",15,$AT$6)),"m"),""))</f>
        <v/>
      </c>
      <c r="AX12" s="404">
        <f>IF(AW12="","",IF(OR(AW12&lt;24,AW12&gt;71,AS12&lt;65,AS12&gt;120,(IF('ข้อมูลนักเรียน'!$D12="ด.ช.",0,IF('ข้อมูลนักเรียน'!$D12="ด.ญ.",3,-99)))&lt;0),"",IFERROR(((AR12/INDEX('เกณฑ์WHO'!$B$2:$G$112,MATCH(ROUND(AS12*2,0)/2,'เกณฑ์WHO'!$A$2:$A$112,0),2+(IF('ข้อมูลนักเรียน'!$D12="ด.ช.",0,IF('ข้อมูลนักเรียน'!$D12="ด.ญ.",3,-99)))))^INDEX('เกณฑ์WHO'!$B$2:$G$112,MATCH(ROUND(AS12*2,0)/2,'เกณฑ์WHO'!$A$2:$A$112,0),1+(IF('ข้อมูลนักเรียน'!$D12="ด.ช.",0,IF('ข้อมูลนักเรียน'!$D12="ด.ญ.",3,-99))))-1)/(INDEX('เกณฑ์WHO'!$B$2:$G$112,MATCH(ROUND(AS12*2,0)/2,'เกณฑ์WHO'!$A$2:$A$112,0),1+(IF('ข้อมูลนักเรียน'!$D12="ด.ช.",0,IF('ข้อมูลนักเรียน'!$D12="ด.ญ.",3,-99))))*INDEX('เกณฑ์WHO'!$B$2:$G$112,MATCH(ROUND(AS12*2,0)/2,'เกณฑ์WHO'!$A$2:$A$112,0),3+(IF('ข้อมูลนักเรียน'!$D12="ด.ช.",0,IF('ข้อมูลนักเรียน'!$D12="ด.ญ.",3,-99))))),"")))</f>
        <v/>
      </c>
      <c r="AY12" s="404">
        <f>IF(AW12="","",IF(OR(AW12&lt;24,AW12&gt;71,(IF('ข้อมูลนักเรียน'!$D12="ด.ช.",0,IF('ข้อมูลนักเรียน'!$D12="ด.ญ.",2,-99)))&lt;0),"",IFERROR((AS12/INDEX('เกณฑ์WHO'!$J$2:$M$61,MATCH(AW12,'เกณฑ์WHO'!$I$2:$I$61,0),1+(IF('ข้อมูลนักเรียน'!$D12="ด.ช.",0,IF('ข้อมูลนักเรียน'!$D12="ด.ญ.",2,-99))))-1)/INDEX('เกณฑ์WHO'!$J$2:$M$61,MATCH(AW12,'เกณฑ์WHO'!$I$2:$I$61,0),2+(IF('ข้อมูลนักเรียน'!$D12="ด.ช.",0,IF('ข้อมูลนักเรียน'!$D12="ด.ญ.",2,-99)))),"")))</f>
        <v/>
      </c>
      <c r="AZ12" s="401" t="n"/>
      <c r="BA12" s="402" t="n"/>
      <c r="BB12" s="403">
        <f>IF(OR(AZ12="",BA12=""),"",ROUND(AZ12/(BA12/100)^2,1))</f>
        <v/>
      </c>
      <c r="BC12" s="232">
        <f>IF(OR($B12="",AZ12="",BA12=""),"",IF(BF12="","ตรวจสอบข้อมูล",IF(BF12&lt;-2,"ผอม",IF(BF12&lt;-1.5,"ค่อนข้างผอม",IF(BF12&lt;=1.5,"สมส่วน",IF(BF12&lt;=2,"ท้วม",IF(BF12&lt;=3,"เริ่มอ้วน","อ้วน")))))))</f>
        <v/>
      </c>
      <c r="BD12" s="232">
        <f>IF(OR($B12="",AZ12="",BA12=""),"",IF(BG12="","ตรวจสอบข้อมูล",IF(BG12&lt;-2,"เตี้ย",IF(BG12&lt;-1.5,"ค่อนข้างเตี้ย",IF(BG12&lt;=1.5,"ตามเกณฑ์",IF(BG12&lt;=2,"ค่อนข้างสูง","สูง"))))))</f>
        <v/>
      </c>
      <c r="BE12" s="404">
        <f>IF(OR($B12="",AZ12="",BA12="",'ข้อมูลนักเรียน'!$S12=""),"",IFERROR(DATEDIF('ข้อมูลนักเรียน'!$S12,DATE('ข้อมูลโรงเรียน'!$C$12-543,11,IF($BB$6="",15,$BB$6)),"m"),""))</f>
        <v/>
      </c>
      <c r="BF12" s="404">
        <f>IF(BE12="","",IF(OR(BE12&lt;24,BE12&gt;71,BA12&lt;65,BA12&gt;120,(IF('ข้อมูลนักเรียน'!$D12="ด.ช.",0,IF('ข้อมูลนักเรียน'!$D12="ด.ญ.",3,-99)))&lt;0),"",IFERROR(((AZ12/INDEX('เกณฑ์WHO'!$B$2:$G$112,MATCH(ROUND(BA12*2,0)/2,'เกณฑ์WHO'!$A$2:$A$112,0),2+(IF('ข้อมูลนักเรียน'!$D12="ด.ช.",0,IF('ข้อมูลนักเรียน'!$D12="ด.ญ.",3,-99)))))^INDEX('เกณฑ์WHO'!$B$2:$G$112,MATCH(ROUND(BA12*2,0)/2,'เกณฑ์WHO'!$A$2:$A$112,0),1+(IF('ข้อมูลนักเรียน'!$D12="ด.ช.",0,IF('ข้อมูลนักเรียน'!$D12="ด.ญ.",3,-99))))-1)/(INDEX('เกณฑ์WHO'!$B$2:$G$112,MATCH(ROUND(BA12*2,0)/2,'เกณฑ์WHO'!$A$2:$A$112,0),1+(IF('ข้อมูลนักเรียน'!$D12="ด.ช.",0,IF('ข้อมูลนักเรียน'!$D12="ด.ญ.",3,-99))))*INDEX('เกณฑ์WHO'!$B$2:$G$112,MATCH(ROUND(BA12*2,0)/2,'เกณฑ์WHO'!$A$2:$A$112,0),3+(IF('ข้อมูลนักเรียน'!$D12="ด.ช.",0,IF('ข้อมูลนักเรียน'!$D12="ด.ญ.",3,-99))))),"")))</f>
        <v/>
      </c>
      <c r="BG12" s="404">
        <f>IF(BE12="","",IF(OR(BE12&lt;24,BE12&gt;71,(IF('ข้อมูลนักเรียน'!$D12="ด.ช.",0,IF('ข้อมูลนักเรียน'!$D12="ด.ญ.",2,-99)))&lt;0),"",IFERROR((BA12/INDEX('เกณฑ์WHO'!$J$2:$M$61,MATCH(BE12,'เกณฑ์WHO'!$I$2:$I$61,0),1+(IF('ข้อมูลนักเรียน'!$D12="ด.ช.",0,IF('ข้อมูลนักเรียน'!$D12="ด.ญ.",2,-99))))-1)/INDEX('เกณฑ์WHO'!$J$2:$M$61,MATCH(BE12,'เกณฑ์WHO'!$I$2:$I$61,0),2+(IF('ข้อมูลนักเรียน'!$D12="ด.ช.",0,IF('ข้อมูลนักเรียน'!$D12="ด.ญ.",2,-99)))),"")))</f>
        <v/>
      </c>
      <c r="BH12" s="401" t="n"/>
      <c r="BI12" s="402" t="n"/>
      <c r="BJ12" s="403">
        <f>IF(OR(BH12="",BI12=""),"",ROUND(BH12/(BI12/100)^2,1))</f>
        <v/>
      </c>
      <c r="BK12" s="232">
        <f>IF(OR($B12="",BH12="",BI12=""),"",IF(BN12="","ตรวจสอบข้อมูล",IF(BN12&lt;-2,"ผอม",IF(BN12&lt;-1.5,"ค่อนข้างผอม",IF(BN12&lt;=1.5,"สมส่วน",IF(BN12&lt;=2,"ท้วม",IF(BN12&lt;=3,"เริ่มอ้วน","อ้วน")))))))</f>
        <v/>
      </c>
      <c r="BL12" s="232">
        <f>IF(OR($B12="",BH12="",BI12=""),"",IF(BO12="","ตรวจสอบข้อมูล",IF(BO12&lt;-2,"เตี้ย",IF(BO12&lt;-1.5,"ค่อนข้างเตี้ย",IF(BO12&lt;=1.5,"ตามเกณฑ์",IF(BO12&lt;=2,"ค่อนข้างสูง","สูง"))))))</f>
        <v/>
      </c>
      <c r="BM12" s="404">
        <f>IF(OR($B12="",BH12="",BI12="",'ข้อมูลนักเรียน'!$S12=""),"",IFERROR(DATEDIF('ข้อมูลนักเรียน'!$S12,DATE('ข้อมูลโรงเรียน'!$C$12-543,12,IF($BJ$6="",15,$BJ$6)),"m"),""))</f>
        <v/>
      </c>
      <c r="BN12" s="404">
        <f>IF(BM12="","",IF(OR(BM12&lt;24,BM12&gt;71,BI12&lt;65,BI12&gt;120,(IF('ข้อมูลนักเรียน'!$D12="ด.ช.",0,IF('ข้อมูลนักเรียน'!$D12="ด.ญ.",3,-99)))&lt;0),"",IFERROR(((BH12/INDEX('เกณฑ์WHO'!$B$2:$G$112,MATCH(ROUND(BI12*2,0)/2,'เกณฑ์WHO'!$A$2:$A$112,0),2+(IF('ข้อมูลนักเรียน'!$D12="ด.ช.",0,IF('ข้อมูลนักเรียน'!$D12="ด.ญ.",3,-99)))))^INDEX('เกณฑ์WHO'!$B$2:$G$112,MATCH(ROUND(BI12*2,0)/2,'เกณฑ์WHO'!$A$2:$A$112,0),1+(IF('ข้อมูลนักเรียน'!$D12="ด.ช.",0,IF('ข้อมูลนักเรียน'!$D12="ด.ญ.",3,-99))))-1)/(INDEX('เกณฑ์WHO'!$B$2:$G$112,MATCH(ROUND(BI12*2,0)/2,'เกณฑ์WHO'!$A$2:$A$112,0),1+(IF('ข้อมูลนักเรียน'!$D12="ด.ช.",0,IF('ข้อมูลนักเรียน'!$D12="ด.ญ.",3,-99))))*INDEX('เกณฑ์WHO'!$B$2:$G$112,MATCH(ROUND(BI12*2,0)/2,'เกณฑ์WHO'!$A$2:$A$112,0),3+(IF('ข้อมูลนักเรียน'!$D12="ด.ช.",0,IF('ข้อมูลนักเรียน'!$D12="ด.ญ.",3,-99))))),"")))</f>
        <v/>
      </c>
      <c r="BO12" s="404">
        <f>IF(BM12="","",IF(OR(BM12&lt;24,BM12&gt;71,(IF('ข้อมูลนักเรียน'!$D12="ด.ช.",0,IF('ข้อมูลนักเรียน'!$D12="ด.ญ.",2,-99)))&lt;0),"",IFERROR((BI12/INDEX('เกณฑ์WHO'!$J$2:$M$61,MATCH(BM12,'เกณฑ์WHO'!$I$2:$I$61,0),1+(IF('ข้อมูลนักเรียน'!$D12="ด.ช.",0,IF('ข้อมูลนักเรียน'!$D12="ด.ญ.",2,-99))))-1)/INDEX('เกณฑ์WHO'!$J$2:$M$61,MATCH(BM12,'เกณฑ์WHO'!$I$2:$I$61,0),2+(IF('ข้อมูลนักเรียน'!$D12="ด.ช.",0,IF('ข้อมูลนักเรียน'!$D12="ด.ญ.",2,-99)))),"")))</f>
        <v/>
      </c>
      <c r="BP12" s="401" t="n"/>
      <c r="BQ12" s="402" t="n"/>
      <c r="BR12" s="403">
        <f>IF(OR(BP12="",BQ12=""),"",ROUND(BP12/(BQ12/100)^2,1))</f>
        <v/>
      </c>
      <c r="BS12" s="232">
        <f>IF(OR($B12="",BP12="",BQ12=""),"",IF(BV12="","ตรวจสอบข้อมูล",IF(BV12&lt;-2,"ผอม",IF(BV12&lt;-1.5,"ค่อนข้างผอม",IF(BV12&lt;=1.5,"สมส่วน",IF(BV12&lt;=2,"ท้วม",IF(BV12&lt;=3,"เริ่มอ้วน","อ้วน")))))))</f>
        <v/>
      </c>
      <c r="BT12" s="232">
        <f>IF(OR($B12="",BP12="",BQ12=""),"",IF(BW12="","ตรวจสอบข้อมูล",IF(BW12&lt;-2,"เตี้ย",IF(BW12&lt;-1.5,"ค่อนข้างเตี้ย",IF(BW12&lt;=1.5,"ตามเกณฑ์",IF(BW12&lt;=2,"ค่อนข้างสูง","สูง"))))))</f>
        <v/>
      </c>
      <c r="BU12" s="404">
        <f>IF(OR($B12="",BP12="",BQ12="",'ข้อมูลนักเรียน'!$S12=""),"",IFERROR(DATEDIF('ข้อมูลนักเรียน'!$S12,DATE('ข้อมูลโรงเรียน'!$C$12-542,1,IF($BR$6="",15,$BR$6)),"m"),""))</f>
        <v/>
      </c>
      <c r="BV12" s="404">
        <f>IF(BU12="","",IF(OR(BU12&lt;24,BU12&gt;71,BQ12&lt;65,BQ12&gt;120,(IF('ข้อมูลนักเรียน'!$D12="ด.ช.",0,IF('ข้อมูลนักเรียน'!$D12="ด.ญ.",3,-99)))&lt;0),"",IFERROR(((BP12/INDEX('เกณฑ์WHO'!$B$2:$G$112,MATCH(ROUND(BQ12*2,0)/2,'เกณฑ์WHO'!$A$2:$A$112,0),2+(IF('ข้อมูลนักเรียน'!$D12="ด.ช.",0,IF('ข้อมูลนักเรียน'!$D12="ด.ญ.",3,-99)))))^INDEX('เกณฑ์WHO'!$B$2:$G$112,MATCH(ROUND(BQ12*2,0)/2,'เกณฑ์WHO'!$A$2:$A$112,0),1+(IF('ข้อมูลนักเรียน'!$D12="ด.ช.",0,IF('ข้อมูลนักเรียน'!$D12="ด.ญ.",3,-99))))-1)/(INDEX('เกณฑ์WHO'!$B$2:$G$112,MATCH(ROUND(BQ12*2,0)/2,'เกณฑ์WHO'!$A$2:$A$112,0),1+(IF('ข้อมูลนักเรียน'!$D12="ด.ช.",0,IF('ข้อมูลนักเรียน'!$D12="ด.ญ.",3,-99))))*INDEX('เกณฑ์WHO'!$B$2:$G$112,MATCH(ROUND(BQ12*2,0)/2,'เกณฑ์WHO'!$A$2:$A$112,0),3+(IF('ข้อมูลนักเรียน'!$D12="ด.ช.",0,IF('ข้อมูลนักเรียน'!$D12="ด.ญ.",3,-99))))),"")))</f>
        <v/>
      </c>
      <c r="BW12" s="404">
        <f>IF(BU12="","",IF(OR(BU12&lt;24,BU12&gt;71,(IF('ข้อมูลนักเรียน'!$D12="ด.ช.",0,IF('ข้อมูลนักเรียน'!$D12="ด.ญ.",2,-99)))&lt;0),"",IFERROR((BQ12/INDEX('เกณฑ์WHO'!$J$2:$M$61,MATCH(BU12,'เกณฑ์WHO'!$I$2:$I$61,0),1+(IF('ข้อมูลนักเรียน'!$D12="ด.ช.",0,IF('ข้อมูลนักเรียน'!$D12="ด.ญ.",2,-99))))-1)/INDEX('เกณฑ์WHO'!$J$2:$M$61,MATCH(BU12,'เกณฑ์WHO'!$I$2:$I$61,0),2+(IF('ข้อมูลนักเรียน'!$D12="ด.ช.",0,IF('ข้อมูลนักเรียน'!$D12="ด.ญ.",2,-99)))),"")))</f>
        <v/>
      </c>
      <c r="BX12" s="401" t="n"/>
      <c r="BY12" s="402" t="n"/>
      <c r="BZ12" s="403">
        <f>IF(OR(BX12="",BY12=""),"",ROUND(BX12/(BY12/100)^2,1))</f>
        <v/>
      </c>
      <c r="CA12" s="232">
        <f>IF(OR($B12="",BX12="",BY12=""),"",IF(CD12="","ตรวจสอบข้อมูล",IF(CD12&lt;-2,"ผอม",IF(CD12&lt;-1.5,"ค่อนข้างผอม",IF(CD12&lt;=1.5,"สมส่วน",IF(CD12&lt;=2,"ท้วม",IF(CD12&lt;=3,"เริ่มอ้วน","อ้วน")))))))</f>
        <v/>
      </c>
      <c r="CB12" s="232">
        <f>IF(OR($B12="",BX12="",BY12=""),"",IF(CE12="","ตรวจสอบข้อมูล",IF(CE12&lt;-2,"เตี้ย",IF(CE12&lt;-1.5,"ค่อนข้างเตี้ย",IF(CE12&lt;=1.5,"ตามเกณฑ์",IF(CE12&lt;=2,"ค่อนข้างสูง","สูง"))))))</f>
        <v/>
      </c>
      <c r="CC12" s="404">
        <f>IF(OR($B12="",BX12="",BY12="",'ข้อมูลนักเรียน'!$S12=""),"",IFERROR(DATEDIF('ข้อมูลนักเรียน'!$S12,DATE('ข้อมูลโรงเรียน'!$C$12-542,2,IF($BZ$6="",15,$BZ$6)),"m"),""))</f>
        <v/>
      </c>
      <c r="CD12" s="404">
        <f>IF(CC12="","",IF(OR(CC12&lt;24,CC12&gt;71,BY12&lt;65,BY12&gt;120,(IF('ข้อมูลนักเรียน'!$D12="ด.ช.",0,IF('ข้อมูลนักเรียน'!$D12="ด.ญ.",3,-99)))&lt;0),"",IFERROR(((BX12/INDEX('เกณฑ์WHO'!$B$2:$G$112,MATCH(ROUND(BY12*2,0)/2,'เกณฑ์WHO'!$A$2:$A$112,0),2+(IF('ข้อมูลนักเรียน'!$D12="ด.ช.",0,IF('ข้อมูลนักเรียน'!$D12="ด.ญ.",3,-99)))))^INDEX('เกณฑ์WHO'!$B$2:$G$112,MATCH(ROUND(BY12*2,0)/2,'เกณฑ์WHO'!$A$2:$A$112,0),1+(IF('ข้อมูลนักเรียน'!$D12="ด.ช.",0,IF('ข้อมูลนักเรียน'!$D12="ด.ญ.",3,-99))))-1)/(INDEX('เกณฑ์WHO'!$B$2:$G$112,MATCH(ROUND(BY12*2,0)/2,'เกณฑ์WHO'!$A$2:$A$112,0),1+(IF('ข้อมูลนักเรียน'!$D12="ด.ช.",0,IF('ข้อมูลนักเรียน'!$D12="ด.ญ.",3,-99))))*INDEX('เกณฑ์WHO'!$B$2:$G$112,MATCH(ROUND(BY12*2,0)/2,'เกณฑ์WHO'!$A$2:$A$112,0),3+(IF('ข้อมูลนักเรียน'!$D12="ด.ช.",0,IF('ข้อมูลนักเรียน'!$D12="ด.ญ.",3,-99))))),"")))</f>
        <v/>
      </c>
      <c r="CE12" s="404">
        <f>IF(CC12="","",IF(OR(CC12&lt;24,CC12&gt;71,(IF('ข้อมูลนักเรียน'!$D12="ด.ช.",0,IF('ข้อมูลนักเรียน'!$D12="ด.ญ.",2,-99)))&lt;0),"",IFERROR((BY12/INDEX('เกณฑ์WHO'!$J$2:$M$61,MATCH(CC12,'เกณฑ์WHO'!$I$2:$I$61,0),1+(IF('ข้อมูลนักเรียน'!$D12="ด.ช.",0,IF('ข้อมูลนักเรียน'!$D12="ด.ญ.",2,-99))))-1)/INDEX('เกณฑ์WHO'!$J$2:$M$61,MATCH(CC12,'เกณฑ์WHO'!$I$2:$I$61,0),2+(IF('ข้อมูลนักเรียน'!$D12="ด.ช.",0,IF('ข้อมูลนักเรียน'!$D12="ด.ญ.",2,-99)))),"")))</f>
        <v/>
      </c>
      <c r="CF12" s="401" t="n"/>
      <c r="CG12" s="402" t="n"/>
      <c r="CH12" s="403">
        <f>IF(OR(CF12="",CG12=""),"",ROUND(CF12/(CG12/100)^2,1))</f>
        <v/>
      </c>
      <c r="CI12" s="232">
        <f>IF(OR($B12="",CF12="",CG12=""),"",IF(CL12="","ตรวจสอบข้อมูล",IF(CL12&lt;-2,"ผอม",IF(CL12&lt;-1.5,"ค่อนข้างผอม",IF(CL12&lt;=1.5,"สมส่วน",IF(CL12&lt;=2,"ท้วม",IF(CL12&lt;=3,"เริ่มอ้วน","อ้วน")))))))</f>
        <v/>
      </c>
      <c r="CJ12" s="232">
        <f>IF(OR($B12="",CF12="",CG12=""),"",IF(CM12="","ตรวจสอบข้อมูล",IF(CM12&lt;-2,"เตี้ย",IF(CM12&lt;-1.5,"ค่อนข้างเตี้ย",IF(CM12&lt;=1.5,"ตามเกณฑ์",IF(CM12&lt;=2,"ค่อนข้างสูง","สูง"))))))</f>
        <v/>
      </c>
      <c r="CK12" s="404">
        <f>IF(OR($B12="",CF12="",CG12="",'ข้อมูลนักเรียน'!$S12=""),"",IFERROR(DATEDIF('ข้อมูลนักเรียน'!$S12,DATE('ข้อมูลโรงเรียน'!$C$12-542,3,IF($CH$6="",15,$CH$6)),"m"),""))</f>
        <v/>
      </c>
      <c r="CL12" s="404">
        <f>IF(CK12="","",IF(OR(CK12&lt;24,CK12&gt;71,CG12&lt;65,CG12&gt;120,(IF('ข้อมูลนักเรียน'!$D12="ด.ช.",0,IF('ข้อมูลนักเรียน'!$D12="ด.ญ.",3,-99)))&lt;0),"",IFERROR(((CF12/INDEX('เกณฑ์WHO'!$B$2:$G$112,MATCH(ROUND(CG12*2,0)/2,'เกณฑ์WHO'!$A$2:$A$112,0),2+(IF('ข้อมูลนักเรียน'!$D12="ด.ช.",0,IF('ข้อมูลนักเรียน'!$D12="ด.ญ.",3,-99)))))^INDEX('เกณฑ์WHO'!$B$2:$G$112,MATCH(ROUND(CG12*2,0)/2,'เกณฑ์WHO'!$A$2:$A$112,0),1+(IF('ข้อมูลนักเรียน'!$D12="ด.ช.",0,IF('ข้อมูลนักเรียน'!$D12="ด.ญ.",3,-99))))-1)/(INDEX('เกณฑ์WHO'!$B$2:$G$112,MATCH(ROUND(CG12*2,0)/2,'เกณฑ์WHO'!$A$2:$A$112,0),1+(IF('ข้อมูลนักเรียน'!$D12="ด.ช.",0,IF('ข้อมูลนักเรียน'!$D12="ด.ญ.",3,-99))))*INDEX('เกณฑ์WHO'!$B$2:$G$112,MATCH(ROUND(CG12*2,0)/2,'เกณฑ์WHO'!$A$2:$A$112,0),3+(IF('ข้อมูลนักเรียน'!$D12="ด.ช.",0,IF('ข้อมูลนักเรียน'!$D12="ด.ญ.",3,-99))))),"")))</f>
        <v/>
      </c>
      <c r="CM12" s="404">
        <f>IF(CK12="","",IF(OR(CK12&lt;24,CK12&gt;71,(IF('ข้อมูลนักเรียน'!$D12="ด.ช.",0,IF('ข้อมูลนักเรียน'!$D12="ด.ญ.",2,-99)))&lt;0),"",IFERROR((CG12/INDEX('เกณฑ์WHO'!$J$2:$M$61,MATCH(CK12,'เกณฑ์WHO'!$I$2:$I$61,0),1+(IF('ข้อมูลนักเรียน'!$D12="ด.ช.",0,IF('ข้อมูลนักเรียน'!$D12="ด.ญ.",2,-99))))-1)/INDEX('เกณฑ์WHO'!$J$2:$M$61,MATCH(CK12,'เกณฑ์WHO'!$I$2:$I$61,0),2+(IF('ข้อมูลนักเรียน'!$D12="ด.ช.",0,IF('ข้อมูลนักเรียน'!$D12="ด.ญ.",2,-99)))),"")))</f>
        <v/>
      </c>
      <c r="CO12">
        <f>IF(N(AR12)&gt;0,AR12,IF(N(AJ12)&gt;0,AJ12,IF(N(AB12)&gt;0,AB12,IF(N(T12)&gt;0,T12,IF(N(L12)&gt;0,L12,IF(N(D12)&gt;0,D12,""))))))</f>
        <v/>
      </c>
      <c r="CP12">
        <f>IF(N(AR12)&gt;0,AS12,IF(N(AJ12)&gt;0,AK12,IF(N(AB12)&gt;0,AC12,IF(N(T12)&gt;0,U12,IF(N(L12)&gt;0,M12,IF(N(D12)&gt;0,E12,""))))))</f>
        <v/>
      </c>
      <c r="CQ12">
        <f>IF(N(AR12)&gt;0,AU12,IF(N(AJ12)&gt;0,AM12,IF(N(AB12)&gt;0,AE12,IF(N(T12)&gt;0,W12,IF(N(L12)&gt;0,O12,IF(N(D12)&gt;0,G12,""))))))</f>
        <v/>
      </c>
      <c r="CR12">
        <f>IF(N(AR12)&gt;0,AV12,IF(N(AJ12)&gt;0,AN12,IF(N(AB12)&gt;0,AF12,IF(N(T12)&gt;0,X12,IF(N(L12)&gt;0,P12,IF(N(D12)&gt;0,H12,""))))))</f>
        <v/>
      </c>
      <c r="CS12">
        <f>IF(N(AR12)&gt;0,"ตุลาคม",IF(N(AJ12)&gt;0,"กันยายน",IF(N(AB12)&gt;0,"สิงหาคม",IF(N(T12)&gt;0,"กรกฎาคม",IF(N(L12)&gt;0,"มิถุนายน",IF(N(D12)&gt;0,"พฤษภาคม",""))))))</f>
        <v/>
      </c>
      <c r="CT12">
        <f>IF(N(CF12)&gt;0,CF12,IF(N(BX12)&gt;0,BX12,IF(N(BP12)&gt;0,BP12,IF(N(BH12)&gt;0,BH12,IF(N(AZ12)&gt;0,AZ12,"")))))</f>
        <v/>
      </c>
      <c r="CU12">
        <f>IF(N(CF12)&gt;0,CG12,IF(N(BX12)&gt;0,BY12,IF(N(BP12)&gt;0,BQ12,IF(N(BH12)&gt;0,BI12,IF(N(AZ12)&gt;0,BA12,"")))))</f>
        <v/>
      </c>
      <c r="CV12">
        <f>IF(N(CF12)&gt;0,CI12,IF(N(BX12)&gt;0,CA12,IF(N(BP12)&gt;0,BS12,IF(N(BH12)&gt;0,BK12,IF(N(AZ12)&gt;0,BC12,"")))))</f>
        <v/>
      </c>
      <c r="CW12">
        <f>IF(N(CF12)&gt;0,CJ12,IF(N(BX12)&gt;0,CB12,IF(N(BP12)&gt;0,BT12,IF(N(BH12)&gt;0,BL12,IF(N(AZ12)&gt;0,BD12,"")))))</f>
        <v/>
      </c>
      <c r="CX12">
        <f>IF(N(CF12)&gt;0,"มีนาคม",IF(N(BX12)&gt;0,"กุมภาพันธ์",IF(N(BP12)&gt;0,"มกราคม",IF(N(BH12)&gt;0,"ธันวาคม",IF(N(AZ12)&gt;0,"พฤศจิกายน","")))))</f>
        <v/>
      </c>
    </row>
    <row r="13">
      <c r="A13" s="218" t="n">
        <v>5</v>
      </c>
      <c r="B13" s="219">
        <f>'ข้อมูลนักเรียน'!T13</f>
        <v/>
      </c>
      <c r="C13" s="400">
        <f>IF(B13="","",IF('ข้อมูลนักเรียน'!D13="ด.ช.","ชาย",IF('ข้อมูลนักเรียน'!D13="ด.ญ.","หญิง",""))&amp;CHAR(10)&amp;'ข้อมูลนักเรียน'!K13)</f>
        <v/>
      </c>
      <c r="D13" s="401" t="n"/>
      <c r="E13" s="402" t="n"/>
      <c r="F13" s="403">
        <f>IF(OR(D13="",E13=""),"",ROUND(D13/(E13/100)^2,1))</f>
        <v/>
      </c>
      <c r="G13" s="232">
        <f>IF(OR($B13="",D13="",E13=""),"",IF(J13="","ตรวจสอบข้อมูล",IF(J13&lt;-2,"ผอม",IF(J13&lt;-1.5,"ค่อนข้างผอม",IF(J13&lt;=1.5,"สมส่วน",IF(J13&lt;=2,"ท้วม",IF(J13&lt;=3,"เริ่มอ้วน","อ้วน")))))))</f>
        <v/>
      </c>
      <c r="H13" s="232">
        <f>IF(OR($B13="",D13="",E13=""),"",IF(K13="","ตรวจสอบข้อมูล",IF(K13&lt;-2,"เตี้ย",IF(K13&lt;-1.5,"ค่อนข้างเตี้ย",IF(K13&lt;=1.5,"ตามเกณฑ์",IF(K13&lt;=2,"ค่อนข้างสูง","สูง"))))))</f>
        <v/>
      </c>
      <c r="I13" s="404">
        <f>IF(OR($B13="",D13="",E13="",'ข้อมูลนักเรียน'!$S13=""),"",IFERROR(DATEDIF('ข้อมูลนักเรียน'!$S13,DATE('ข้อมูลโรงเรียน'!$C$12-543,5,IF($F$6="",15,$F$6)),"m"),""))</f>
        <v/>
      </c>
      <c r="J13" s="404">
        <f>IF(I13="","",IF(OR(I13&lt;24,I13&gt;71,E13&lt;65,E13&gt;120,(IF('ข้อมูลนักเรียน'!$D13="ด.ช.",0,IF('ข้อมูลนักเรียน'!$D13="ด.ญ.",3,-99)))&lt;0),"",IFERROR(((D13/INDEX('เกณฑ์WHO'!$B$2:$G$112,MATCH(ROUND(E13*2,0)/2,'เกณฑ์WHO'!$A$2:$A$112,0),2+(IF('ข้อมูลนักเรียน'!$D13="ด.ช.",0,IF('ข้อมูลนักเรียน'!$D13="ด.ญ.",3,-99)))))^INDEX('เกณฑ์WHO'!$B$2:$G$112,MATCH(ROUND(E13*2,0)/2,'เกณฑ์WHO'!$A$2:$A$112,0),1+(IF('ข้อมูลนักเรียน'!$D13="ด.ช.",0,IF('ข้อมูลนักเรียน'!$D13="ด.ญ.",3,-99))))-1)/(INDEX('เกณฑ์WHO'!$B$2:$G$112,MATCH(ROUND(E13*2,0)/2,'เกณฑ์WHO'!$A$2:$A$112,0),1+(IF('ข้อมูลนักเรียน'!$D13="ด.ช.",0,IF('ข้อมูลนักเรียน'!$D13="ด.ญ.",3,-99))))*INDEX('เกณฑ์WHO'!$B$2:$G$112,MATCH(ROUND(E13*2,0)/2,'เกณฑ์WHO'!$A$2:$A$112,0),3+(IF('ข้อมูลนักเรียน'!$D13="ด.ช.",0,IF('ข้อมูลนักเรียน'!$D13="ด.ญ.",3,-99))))),"")))</f>
        <v/>
      </c>
      <c r="K13" s="404">
        <f>IF(I13="","",IF(OR(I13&lt;24,I13&gt;71,(IF('ข้อมูลนักเรียน'!$D13="ด.ช.",0,IF('ข้อมูลนักเรียน'!$D13="ด.ญ.",2,-99)))&lt;0),"",IFERROR((E13/INDEX('เกณฑ์WHO'!$J$2:$M$61,MATCH(I13,'เกณฑ์WHO'!$I$2:$I$61,0),1+(IF('ข้อมูลนักเรียน'!$D13="ด.ช.",0,IF('ข้อมูลนักเรียน'!$D13="ด.ญ.",2,-99))))-1)/INDEX('เกณฑ์WHO'!$J$2:$M$61,MATCH(I13,'เกณฑ์WHO'!$I$2:$I$61,0),2+(IF('ข้อมูลนักเรียน'!$D13="ด.ช.",0,IF('ข้อมูลนักเรียน'!$D13="ด.ญ.",2,-99)))),"")))</f>
        <v/>
      </c>
      <c r="L13" s="401" t="n"/>
      <c r="M13" s="402" t="n"/>
      <c r="N13" s="403">
        <f>IF(OR(L13="",M13=""),"",ROUND(L13/(M13/100)^2,1))</f>
        <v/>
      </c>
      <c r="O13" s="232">
        <f>IF(OR($B13="",L13="",M13=""),"",IF(R13="","ตรวจสอบข้อมูล",IF(R13&lt;-2,"ผอม",IF(R13&lt;-1.5,"ค่อนข้างผอม",IF(R13&lt;=1.5,"สมส่วน",IF(R13&lt;=2,"ท้วม",IF(R13&lt;=3,"เริ่มอ้วน","อ้วน")))))))</f>
        <v/>
      </c>
      <c r="P13" s="232">
        <f>IF(OR($B13="",L13="",M13=""),"",IF(S13="","ตรวจสอบข้อมูล",IF(S13&lt;-2,"เตี้ย",IF(S13&lt;-1.5,"ค่อนข้างเตี้ย",IF(S13&lt;=1.5,"ตามเกณฑ์",IF(S13&lt;=2,"ค่อนข้างสูง","สูง"))))))</f>
        <v/>
      </c>
      <c r="Q13" s="404">
        <f>IF(OR($B13="",L13="",M13="",'ข้อมูลนักเรียน'!$S13=""),"",IFERROR(DATEDIF('ข้อมูลนักเรียน'!$S13,DATE('ข้อมูลโรงเรียน'!$C$12-543,6,IF($N$6="",15,$N$6)),"m"),""))</f>
        <v/>
      </c>
      <c r="R13" s="404">
        <f>IF(Q13="","",IF(OR(Q13&lt;24,Q13&gt;71,M13&lt;65,M13&gt;120,(IF('ข้อมูลนักเรียน'!$D13="ด.ช.",0,IF('ข้อมูลนักเรียน'!$D13="ด.ญ.",3,-99)))&lt;0),"",IFERROR(((L13/INDEX('เกณฑ์WHO'!$B$2:$G$112,MATCH(ROUND(M13*2,0)/2,'เกณฑ์WHO'!$A$2:$A$112,0),2+(IF('ข้อมูลนักเรียน'!$D13="ด.ช.",0,IF('ข้อมูลนักเรียน'!$D13="ด.ญ.",3,-99)))))^INDEX('เกณฑ์WHO'!$B$2:$G$112,MATCH(ROUND(M13*2,0)/2,'เกณฑ์WHO'!$A$2:$A$112,0),1+(IF('ข้อมูลนักเรียน'!$D13="ด.ช.",0,IF('ข้อมูลนักเรียน'!$D13="ด.ญ.",3,-99))))-1)/(INDEX('เกณฑ์WHO'!$B$2:$G$112,MATCH(ROUND(M13*2,0)/2,'เกณฑ์WHO'!$A$2:$A$112,0),1+(IF('ข้อมูลนักเรียน'!$D13="ด.ช.",0,IF('ข้อมูลนักเรียน'!$D13="ด.ญ.",3,-99))))*INDEX('เกณฑ์WHO'!$B$2:$G$112,MATCH(ROUND(M13*2,0)/2,'เกณฑ์WHO'!$A$2:$A$112,0),3+(IF('ข้อมูลนักเรียน'!$D13="ด.ช.",0,IF('ข้อมูลนักเรียน'!$D13="ด.ญ.",3,-99))))),"")))</f>
        <v/>
      </c>
      <c r="S13" s="404">
        <f>IF(Q13="","",IF(OR(Q13&lt;24,Q13&gt;71,(IF('ข้อมูลนักเรียน'!$D13="ด.ช.",0,IF('ข้อมูลนักเรียน'!$D13="ด.ญ.",2,-99)))&lt;0),"",IFERROR((M13/INDEX('เกณฑ์WHO'!$J$2:$M$61,MATCH(Q13,'เกณฑ์WHO'!$I$2:$I$61,0),1+(IF('ข้อมูลนักเรียน'!$D13="ด.ช.",0,IF('ข้อมูลนักเรียน'!$D13="ด.ญ.",2,-99))))-1)/INDEX('เกณฑ์WHO'!$J$2:$M$61,MATCH(Q13,'เกณฑ์WHO'!$I$2:$I$61,0),2+(IF('ข้อมูลนักเรียน'!$D13="ด.ช.",0,IF('ข้อมูลนักเรียน'!$D13="ด.ญ.",2,-99)))),"")))</f>
        <v/>
      </c>
      <c r="T13" s="401" t="n"/>
      <c r="U13" s="402" t="n"/>
      <c r="V13" s="403">
        <f>IF(OR(T13="",U13=""),"",ROUND(T13/(U13/100)^2,1))</f>
        <v/>
      </c>
      <c r="W13" s="232">
        <f>IF(OR($B13="",T13="",U13=""),"",IF(Z13="","ตรวจสอบข้อมูล",IF(Z13&lt;-2,"ผอม",IF(Z13&lt;-1.5,"ค่อนข้างผอม",IF(Z13&lt;=1.5,"สมส่วน",IF(Z13&lt;=2,"ท้วม",IF(Z13&lt;=3,"เริ่มอ้วน","อ้วน")))))))</f>
        <v/>
      </c>
      <c r="X13" s="232">
        <f>IF(OR($B13="",T13="",U13=""),"",IF(AA13="","ตรวจสอบข้อมูล",IF(AA13&lt;-2,"เตี้ย",IF(AA13&lt;-1.5,"ค่อนข้างเตี้ย",IF(AA13&lt;=1.5,"ตามเกณฑ์",IF(AA13&lt;=2,"ค่อนข้างสูง","สูง"))))))</f>
        <v/>
      </c>
      <c r="Y13" s="404">
        <f>IF(OR($B13="",T13="",U13="",'ข้อมูลนักเรียน'!$S13=""),"",IFERROR(DATEDIF('ข้อมูลนักเรียน'!$S13,DATE('ข้อมูลโรงเรียน'!$C$12-543,7,IF($V$6="",15,$V$6)),"m"),""))</f>
        <v/>
      </c>
      <c r="Z13" s="404">
        <f>IF(Y13="","",IF(OR(Y13&lt;24,Y13&gt;71,U13&lt;65,U13&gt;120,(IF('ข้อมูลนักเรียน'!$D13="ด.ช.",0,IF('ข้อมูลนักเรียน'!$D13="ด.ญ.",3,-99)))&lt;0),"",IFERROR(((T13/INDEX('เกณฑ์WHO'!$B$2:$G$112,MATCH(ROUND(U13*2,0)/2,'เกณฑ์WHO'!$A$2:$A$112,0),2+(IF('ข้อมูลนักเรียน'!$D13="ด.ช.",0,IF('ข้อมูลนักเรียน'!$D13="ด.ญ.",3,-99)))))^INDEX('เกณฑ์WHO'!$B$2:$G$112,MATCH(ROUND(U13*2,0)/2,'เกณฑ์WHO'!$A$2:$A$112,0),1+(IF('ข้อมูลนักเรียน'!$D13="ด.ช.",0,IF('ข้อมูลนักเรียน'!$D13="ด.ญ.",3,-99))))-1)/(INDEX('เกณฑ์WHO'!$B$2:$G$112,MATCH(ROUND(U13*2,0)/2,'เกณฑ์WHO'!$A$2:$A$112,0),1+(IF('ข้อมูลนักเรียน'!$D13="ด.ช.",0,IF('ข้อมูลนักเรียน'!$D13="ด.ญ.",3,-99))))*INDEX('เกณฑ์WHO'!$B$2:$G$112,MATCH(ROUND(U13*2,0)/2,'เกณฑ์WHO'!$A$2:$A$112,0),3+(IF('ข้อมูลนักเรียน'!$D13="ด.ช.",0,IF('ข้อมูลนักเรียน'!$D13="ด.ญ.",3,-99))))),"")))</f>
        <v/>
      </c>
      <c r="AA13" s="404">
        <f>IF(Y13="","",IF(OR(Y13&lt;24,Y13&gt;71,(IF('ข้อมูลนักเรียน'!$D13="ด.ช.",0,IF('ข้อมูลนักเรียน'!$D13="ด.ญ.",2,-99)))&lt;0),"",IFERROR((U13/INDEX('เกณฑ์WHO'!$J$2:$M$61,MATCH(Y13,'เกณฑ์WHO'!$I$2:$I$61,0),1+(IF('ข้อมูลนักเรียน'!$D13="ด.ช.",0,IF('ข้อมูลนักเรียน'!$D13="ด.ญ.",2,-99))))-1)/INDEX('เกณฑ์WHO'!$J$2:$M$61,MATCH(Y13,'เกณฑ์WHO'!$I$2:$I$61,0),2+(IF('ข้อมูลนักเรียน'!$D13="ด.ช.",0,IF('ข้อมูลนักเรียน'!$D13="ด.ญ.",2,-99)))),"")))</f>
        <v/>
      </c>
      <c r="AB13" s="401" t="n"/>
      <c r="AC13" s="402" t="n"/>
      <c r="AD13" s="403">
        <f>IF(OR(AB13="",AC13=""),"",ROUND(AB13/(AC13/100)^2,1))</f>
        <v/>
      </c>
      <c r="AE13" s="232">
        <f>IF(OR($B13="",AB13="",AC13=""),"",IF(AH13="","ตรวจสอบข้อมูล",IF(AH13&lt;-2,"ผอม",IF(AH13&lt;-1.5,"ค่อนข้างผอม",IF(AH13&lt;=1.5,"สมส่วน",IF(AH13&lt;=2,"ท้วม",IF(AH13&lt;=3,"เริ่มอ้วน","อ้วน")))))))</f>
        <v/>
      </c>
      <c r="AF13" s="232">
        <f>IF(OR($B13="",AB13="",AC13=""),"",IF(AI13="","ตรวจสอบข้อมูล",IF(AI13&lt;-2,"เตี้ย",IF(AI13&lt;-1.5,"ค่อนข้างเตี้ย",IF(AI13&lt;=1.5,"ตามเกณฑ์",IF(AI13&lt;=2,"ค่อนข้างสูง","สูง"))))))</f>
        <v/>
      </c>
      <c r="AG13" s="404">
        <f>IF(OR($B13="",AB13="",AC13="",'ข้อมูลนักเรียน'!$S13=""),"",IFERROR(DATEDIF('ข้อมูลนักเรียน'!$S13,DATE('ข้อมูลโรงเรียน'!$C$12-543,8,IF($AD$6="",15,$AD$6)),"m"),""))</f>
        <v/>
      </c>
      <c r="AH13" s="404">
        <f>IF(AG13="","",IF(OR(AG13&lt;24,AG13&gt;71,AC13&lt;65,AC13&gt;120,(IF('ข้อมูลนักเรียน'!$D13="ด.ช.",0,IF('ข้อมูลนักเรียน'!$D13="ด.ญ.",3,-99)))&lt;0),"",IFERROR(((AB13/INDEX('เกณฑ์WHO'!$B$2:$G$112,MATCH(ROUND(AC13*2,0)/2,'เกณฑ์WHO'!$A$2:$A$112,0),2+(IF('ข้อมูลนักเรียน'!$D13="ด.ช.",0,IF('ข้อมูลนักเรียน'!$D13="ด.ญ.",3,-99)))))^INDEX('เกณฑ์WHO'!$B$2:$G$112,MATCH(ROUND(AC13*2,0)/2,'เกณฑ์WHO'!$A$2:$A$112,0),1+(IF('ข้อมูลนักเรียน'!$D13="ด.ช.",0,IF('ข้อมูลนักเรียน'!$D13="ด.ญ.",3,-99))))-1)/(INDEX('เกณฑ์WHO'!$B$2:$G$112,MATCH(ROUND(AC13*2,0)/2,'เกณฑ์WHO'!$A$2:$A$112,0),1+(IF('ข้อมูลนักเรียน'!$D13="ด.ช.",0,IF('ข้อมูลนักเรียน'!$D13="ด.ญ.",3,-99))))*INDEX('เกณฑ์WHO'!$B$2:$G$112,MATCH(ROUND(AC13*2,0)/2,'เกณฑ์WHO'!$A$2:$A$112,0),3+(IF('ข้อมูลนักเรียน'!$D13="ด.ช.",0,IF('ข้อมูลนักเรียน'!$D13="ด.ญ.",3,-99))))),"")))</f>
        <v/>
      </c>
      <c r="AI13" s="404">
        <f>IF(AG13="","",IF(OR(AG13&lt;24,AG13&gt;71,(IF('ข้อมูลนักเรียน'!$D13="ด.ช.",0,IF('ข้อมูลนักเรียน'!$D13="ด.ญ.",2,-99)))&lt;0),"",IFERROR((AC13/INDEX('เกณฑ์WHO'!$J$2:$M$61,MATCH(AG13,'เกณฑ์WHO'!$I$2:$I$61,0),1+(IF('ข้อมูลนักเรียน'!$D13="ด.ช.",0,IF('ข้อมูลนักเรียน'!$D13="ด.ญ.",2,-99))))-1)/INDEX('เกณฑ์WHO'!$J$2:$M$61,MATCH(AG13,'เกณฑ์WHO'!$I$2:$I$61,0),2+(IF('ข้อมูลนักเรียน'!$D13="ด.ช.",0,IF('ข้อมูลนักเรียน'!$D13="ด.ญ.",2,-99)))),"")))</f>
        <v/>
      </c>
      <c r="AJ13" s="401" t="n"/>
      <c r="AK13" s="402" t="n"/>
      <c r="AL13" s="403">
        <f>IF(OR(AJ13="",AK13=""),"",ROUND(AJ13/(AK13/100)^2,1))</f>
        <v/>
      </c>
      <c r="AM13" s="232">
        <f>IF(OR($B13="",AJ13="",AK13=""),"",IF(AP13="","ตรวจสอบข้อมูล",IF(AP13&lt;-2,"ผอม",IF(AP13&lt;-1.5,"ค่อนข้างผอม",IF(AP13&lt;=1.5,"สมส่วน",IF(AP13&lt;=2,"ท้วม",IF(AP13&lt;=3,"เริ่มอ้วน","อ้วน")))))))</f>
        <v/>
      </c>
      <c r="AN13" s="232">
        <f>IF(OR($B13="",AJ13="",AK13=""),"",IF(AQ13="","ตรวจสอบข้อมูล",IF(AQ13&lt;-2,"เตี้ย",IF(AQ13&lt;-1.5,"ค่อนข้างเตี้ย",IF(AQ13&lt;=1.5,"ตามเกณฑ์",IF(AQ13&lt;=2,"ค่อนข้างสูง","สูง"))))))</f>
        <v/>
      </c>
      <c r="AO13" s="404">
        <f>IF(OR($B13="",AJ13="",AK13="",'ข้อมูลนักเรียน'!$S13=""),"",IFERROR(DATEDIF('ข้อมูลนักเรียน'!$S13,DATE('ข้อมูลโรงเรียน'!$C$12-543,9,IF($AL$6="",15,$AL$6)),"m"),""))</f>
        <v/>
      </c>
      <c r="AP13" s="404">
        <f>IF(AO13="","",IF(OR(AO13&lt;24,AO13&gt;71,AK13&lt;65,AK13&gt;120,(IF('ข้อมูลนักเรียน'!$D13="ด.ช.",0,IF('ข้อมูลนักเรียน'!$D13="ด.ญ.",3,-99)))&lt;0),"",IFERROR(((AJ13/INDEX('เกณฑ์WHO'!$B$2:$G$112,MATCH(ROUND(AK13*2,0)/2,'เกณฑ์WHO'!$A$2:$A$112,0),2+(IF('ข้อมูลนักเรียน'!$D13="ด.ช.",0,IF('ข้อมูลนักเรียน'!$D13="ด.ญ.",3,-99)))))^INDEX('เกณฑ์WHO'!$B$2:$G$112,MATCH(ROUND(AK13*2,0)/2,'เกณฑ์WHO'!$A$2:$A$112,0),1+(IF('ข้อมูลนักเรียน'!$D13="ด.ช.",0,IF('ข้อมูลนักเรียน'!$D13="ด.ญ.",3,-99))))-1)/(INDEX('เกณฑ์WHO'!$B$2:$G$112,MATCH(ROUND(AK13*2,0)/2,'เกณฑ์WHO'!$A$2:$A$112,0),1+(IF('ข้อมูลนักเรียน'!$D13="ด.ช.",0,IF('ข้อมูลนักเรียน'!$D13="ด.ญ.",3,-99))))*INDEX('เกณฑ์WHO'!$B$2:$G$112,MATCH(ROUND(AK13*2,0)/2,'เกณฑ์WHO'!$A$2:$A$112,0),3+(IF('ข้อมูลนักเรียน'!$D13="ด.ช.",0,IF('ข้อมูลนักเรียน'!$D13="ด.ญ.",3,-99))))),"")))</f>
        <v/>
      </c>
      <c r="AQ13" s="404">
        <f>IF(AO13="","",IF(OR(AO13&lt;24,AO13&gt;71,(IF('ข้อมูลนักเรียน'!$D13="ด.ช.",0,IF('ข้อมูลนักเรียน'!$D13="ด.ญ.",2,-99)))&lt;0),"",IFERROR((AK13/INDEX('เกณฑ์WHO'!$J$2:$M$61,MATCH(AO13,'เกณฑ์WHO'!$I$2:$I$61,0),1+(IF('ข้อมูลนักเรียน'!$D13="ด.ช.",0,IF('ข้อมูลนักเรียน'!$D13="ด.ญ.",2,-99))))-1)/INDEX('เกณฑ์WHO'!$J$2:$M$61,MATCH(AO13,'เกณฑ์WHO'!$I$2:$I$61,0),2+(IF('ข้อมูลนักเรียน'!$D13="ด.ช.",0,IF('ข้อมูลนักเรียน'!$D13="ด.ญ.",2,-99)))),"")))</f>
        <v/>
      </c>
      <c r="AR13" s="401" t="n"/>
      <c r="AS13" s="402" t="n"/>
      <c r="AT13" s="403">
        <f>IF(OR(AR13="",AS13=""),"",ROUND(AR13/(AS13/100)^2,1))</f>
        <v/>
      </c>
      <c r="AU13" s="232">
        <f>IF(OR($B13="",AR13="",AS13=""),"",IF(AX13="","ตรวจสอบข้อมูล",IF(AX13&lt;-2,"ผอม",IF(AX13&lt;-1.5,"ค่อนข้างผอม",IF(AX13&lt;=1.5,"สมส่วน",IF(AX13&lt;=2,"ท้วม",IF(AX13&lt;=3,"เริ่มอ้วน","อ้วน")))))))</f>
        <v/>
      </c>
      <c r="AV13" s="232">
        <f>IF(OR($B13="",AR13="",AS13=""),"",IF(AY13="","ตรวจสอบข้อมูล",IF(AY13&lt;-2,"เตี้ย",IF(AY13&lt;-1.5,"ค่อนข้างเตี้ย",IF(AY13&lt;=1.5,"ตามเกณฑ์",IF(AY13&lt;=2,"ค่อนข้างสูง","สูง"))))))</f>
        <v/>
      </c>
      <c r="AW13" s="404">
        <f>IF(OR($B13="",AR13="",AS13="",'ข้อมูลนักเรียน'!$S13=""),"",IFERROR(DATEDIF('ข้อมูลนักเรียน'!$S13,DATE('ข้อมูลโรงเรียน'!$C$12-543,10,IF($AT$6="",15,$AT$6)),"m"),""))</f>
        <v/>
      </c>
      <c r="AX13" s="404">
        <f>IF(AW13="","",IF(OR(AW13&lt;24,AW13&gt;71,AS13&lt;65,AS13&gt;120,(IF('ข้อมูลนักเรียน'!$D13="ด.ช.",0,IF('ข้อมูลนักเรียน'!$D13="ด.ญ.",3,-99)))&lt;0),"",IFERROR(((AR13/INDEX('เกณฑ์WHO'!$B$2:$G$112,MATCH(ROUND(AS13*2,0)/2,'เกณฑ์WHO'!$A$2:$A$112,0),2+(IF('ข้อมูลนักเรียน'!$D13="ด.ช.",0,IF('ข้อมูลนักเรียน'!$D13="ด.ญ.",3,-99)))))^INDEX('เกณฑ์WHO'!$B$2:$G$112,MATCH(ROUND(AS13*2,0)/2,'เกณฑ์WHO'!$A$2:$A$112,0),1+(IF('ข้อมูลนักเรียน'!$D13="ด.ช.",0,IF('ข้อมูลนักเรียน'!$D13="ด.ญ.",3,-99))))-1)/(INDEX('เกณฑ์WHO'!$B$2:$G$112,MATCH(ROUND(AS13*2,0)/2,'เกณฑ์WHO'!$A$2:$A$112,0),1+(IF('ข้อมูลนักเรียน'!$D13="ด.ช.",0,IF('ข้อมูลนักเรียน'!$D13="ด.ญ.",3,-99))))*INDEX('เกณฑ์WHO'!$B$2:$G$112,MATCH(ROUND(AS13*2,0)/2,'เกณฑ์WHO'!$A$2:$A$112,0),3+(IF('ข้อมูลนักเรียน'!$D13="ด.ช.",0,IF('ข้อมูลนักเรียน'!$D13="ด.ญ.",3,-99))))),"")))</f>
        <v/>
      </c>
      <c r="AY13" s="404">
        <f>IF(AW13="","",IF(OR(AW13&lt;24,AW13&gt;71,(IF('ข้อมูลนักเรียน'!$D13="ด.ช.",0,IF('ข้อมูลนักเรียน'!$D13="ด.ญ.",2,-99)))&lt;0),"",IFERROR((AS13/INDEX('เกณฑ์WHO'!$J$2:$M$61,MATCH(AW13,'เกณฑ์WHO'!$I$2:$I$61,0),1+(IF('ข้อมูลนักเรียน'!$D13="ด.ช.",0,IF('ข้อมูลนักเรียน'!$D13="ด.ญ.",2,-99))))-1)/INDEX('เกณฑ์WHO'!$J$2:$M$61,MATCH(AW13,'เกณฑ์WHO'!$I$2:$I$61,0),2+(IF('ข้อมูลนักเรียน'!$D13="ด.ช.",0,IF('ข้อมูลนักเรียน'!$D13="ด.ญ.",2,-99)))),"")))</f>
        <v/>
      </c>
      <c r="AZ13" s="401" t="n"/>
      <c r="BA13" s="402" t="n"/>
      <c r="BB13" s="403">
        <f>IF(OR(AZ13="",BA13=""),"",ROUND(AZ13/(BA13/100)^2,1))</f>
        <v/>
      </c>
      <c r="BC13" s="232">
        <f>IF(OR($B13="",AZ13="",BA13=""),"",IF(BF13="","ตรวจสอบข้อมูล",IF(BF13&lt;-2,"ผอม",IF(BF13&lt;-1.5,"ค่อนข้างผอม",IF(BF13&lt;=1.5,"สมส่วน",IF(BF13&lt;=2,"ท้วม",IF(BF13&lt;=3,"เริ่มอ้วน","อ้วน")))))))</f>
        <v/>
      </c>
      <c r="BD13" s="232">
        <f>IF(OR($B13="",AZ13="",BA13=""),"",IF(BG13="","ตรวจสอบข้อมูล",IF(BG13&lt;-2,"เตี้ย",IF(BG13&lt;-1.5,"ค่อนข้างเตี้ย",IF(BG13&lt;=1.5,"ตามเกณฑ์",IF(BG13&lt;=2,"ค่อนข้างสูง","สูง"))))))</f>
        <v/>
      </c>
      <c r="BE13" s="404">
        <f>IF(OR($B13="",AZ13="",BA13="",'ข้อมูลนักเรียน'!$S13=""),"",IFERROR(DATEDIF('ข้อมูลนักเรียน'!$S13,DATE('ข้อมูลโรงเรียน'!$C$12-543,11,IF($BB$6="",15,$BB$6)),"m"),""))</f>
        <v/>
      </c>
      <c r="BF13" s="404">
        <f>IF(BE13="","",IF(OR(BE13&lt;24,BE13&gt;71,BA13&lt;65,BA13&gt;120,(IF('ข้อมูลนักเรียน'!$D13="ด.ช.",0,IF('ข้อมูลนักเรียน'!$D13="ด.ญ.",3,-99)))&lt;0),"",IFERROR(((AZ13/INDEX('เกณฑ์WHO'!$B$2:$G$112,MATCH(ROUND(BA13*2,0)/2,'เกณฑ์WHO'!$A$2:$A$112,0),2+(IF('ข้อมูลนักเรียน'!$D13="ด.ช.",0,IF('ข้อมูลนักเรียน'!$D13="ด.ญ.",3,-99)))))^INDEX('เกณฑ์WHO'!$B$2:$G$112,MATCH(ROUND(BA13*2,0)/2,'เกณฑ์WHO'!$A$2:$A$112,0),1+(IF('ข้อมูลนักเรียน'!$D13="ด.ช.",0,IF('ข้อมูลนักเรียน'!$D13="ด.ญ.",3,-99))))-1)/(INDEX('เกณฑ์WHO'!$B$2:$G$112,MATCH(ROUND(BA13*2,0)/2,'เกณฑ์WHO'!$A$2:$A$112,0),1+(IF('ข้อมูลนักเรียน'!$D13="ด.ช.",0,IF('ข้อมูลนักเรียน'!$D13="ด.ญ.",3,-99))))*INDEX('เกณฑ์WHO'!$B$2:$G$112,MATCH(ROUND(BA13*2,0)/2,'เกณฑ์WHO'!$A$2:$A$112,0),3+(IF('ข้อมูลนักเรียน'!$D13="ด.ช.",0,IF('ข้อมูลนักเรียน'!$D13="ด.ญ.",3,-99))))),"")))</f>
        <v/>
      </c>
      <c r="BG13" s="404">
        <f>IF(BE13="","",IF(OR(BE13&lt;24,BE13&gt;71,(IF('ข้อมูลนักเรียน'!$D13="ด.ช.",0,IF('ข้อมูลนักเรียน'!$D13="ด.ญ.",2,-99)))&lt;0),"",IFERROR((BA13/INDEX('เกณฑ์WHO'!$J$2:$M$61,MATCH(BE13,'เกณฑ์WHO'!$I$2:$I$61,0),1+(IF('ข้อมูลนักเรียน'!$D13="ด.ช.",0,IF('ข้อมูลนักเรียน'!$D13="ด.ญ.",2,-99))))-1)/INDEX('เกณฑ์WHO'!$J$2:$M$61,MATCH(BE13,'เกณฑ์WHO'!$I$2:$I$61,0),2+(IF('ข้อมูลนักเรียน'!$D13="ด.ช.",0,IF('ข้อมูลนักเรียน'!$D13="ด.ญ.",2,-99)))),"")))</f>
        <v/>
      </c>
      <c r="BH13" s="401" t="n"/>
      <c r="BI13" s="402" t="n"/>
      <c r="BJ13" s="403">
        <f>IF(OR(BH13="",BI13=""),"",ROUND(BH13/(BI13/100)^2,1))</f>
        <v/>
      </c>
      <c r="BK13" s="232">
        <f>IF(OR($B13="",BH13="",BI13=""),"",IF(BN13="","ตรวจสอบข้อมูล",IF(BN13&lt;-2,"ผอม",IF(BN13&lt;-1.5,"ค่อนข้างผอม",IF(BN13&lt;=1.5,"สมส่วน",IF(BN13&lt;=2,"ท้วม",IF(BN13&lt;=3,"เริ่มอ้วน","อ้วน")))))))</f>
        <v/>
      </c>
      <c r="BL13" s="232">
        <f>IF(OR($B13="",BH13="",BI13=""),"",IF(BO13="","ตรวจสอบข้อมูล",IF(BO13&lt;-2,"เตี้ย",IF(BO13&lt;-1.5,"ค่อนข้างเตี้ย",IF(BO13&lt;=1.5,"ตามเกณฑ์",IF(BO13&lt;=2,"ค่อนข้างสูง","สูง"))))))</f>
        <v/>
      </c>
      <c r="BM13" s="404">
        <f>IF(OR($B13="",BH13="",BI13="",'ข้อมูลนักเรียน'!$S13=""),"",IFERROR(DATEDIF('ข้อมูลนักเรียน'!$S13,DATE('ข้อมูลโรงเรียน'!$C$12-543,12,IF($BJ$6="",15,$BJ$6)),"m"),""))</f>
        <v/>
      </c>
      <c r="BN13" s="404">
        <f>IF(BM13="","",IF(OR(BM13&lt;24,BM13&gt;71,BI13&lt;65,BI13&gt;120,(IF('ข้อมูลนักเรียน'!$D13="ด.ช.",0,IF('ข้อมูลนักเรียน'!$D13="ด.ญ.",3,-99)))&lt;0),"",IFERROR(((BH13/INDEX('เกณฑ์WHO'!$B$2:$G$112,MATCH(ROUND(BI13*2,0)/2,'เกณฑ์WHO'!$A$2:$A$112,0),2+(IF('ข้อมูลนักเรียน'!$D13="ด.ช.",0,IF('ข้อมูลนักเรียน'!$D13="ด.ญ.",3,-99)))))^INDEX('เกณฑ์WHO'!$B$2:$G$112,MATCH(ROUND(BI13*2,0)/2,'เกณฑ์WHO'!$A$2:$A$112,0),1+(IF('ข้อมูลนักเรียน'!$D13="ด.ช.",0,IF('ข้อมูลนักเรียน'!$D13="ด.ญ.",3,-99))))-1)/(INDEX('เกณฑ์WHO'!$B$2:$G$112,MATCH(ROUND(BI13*2,0)/2,'เกณฑ์WHO'!$A$2:$A$112,0),1+(IF('ข้อมูลนักเรียน'!$D13="ด.ช.",0,IF('ข้อมูลนักเรียน'!$D13="ด.ญ.",3,-99))))*INDEX('เกณฑ์WHO'!$B$2:$G$112,MATCH(ROUND(BI13*2,0)/2,'เกณฑ์WHO'!$A$2:$A$112,0),3+(IF('ข้อมูลนักเรียน'!$D13="ด.ช.",0,IF('ข้อมูลนักเรียน'!$D13="ด.ญ.",3,-99))))),"")))</f>
        <v/>
      </c>
      <c r="BO13" s="404">
        <f>IF(BM13="","",IF(OR(BM13&lt;24,BM13&gt;71,(IF('ข้อมูลนักเรียน'!$D13="ด.ช.",0,IF('ข้อมูลนักเรียน'!$D13="ด.ญ.",2,-99)))&lt;0),"",IFERROR((BI13/INDEX('เกณฑ์WHO'!$J$2:$M$61,MATCH(BM13,'เกณฑ์WHO'!$I$2:$I$61,0),1+(IF('ข้อมูลนักเรียน'!$D13="ด.ช.",0,IF('ข้อมูลนักเรียน'!$D13="ด.ญ.",2,-99))))-1)/INDEX('เกณฑ์WHO'!$J$2:$M$61,MATCH(BM13,'เกณฑ์WHO'!$I$2:$I$61,0),2+(IF('ข้อมูลนักเรียน'!$D13="ด.ช.",0,IF('ข้อมูลนักเรียน'!$D13="ด.ญ.",2,-99)))),"")))</f>
        <v/>
      </c>
      <c r="BP13" s="401" t="n"/>
      <c r="BQ13" s="402" t="n"/>
      <c r="BR13" s="403">
        <f>IF(OR(BP13="",BQ13=""),"",ROUND(BP13/(BQ13/100)^2,1))</f>
        <v/>
      </c>
      <c r="BS13" s="232">
        <f>IF(OR($B13="",BP13="",BQ13=""),"",IF(BV13="","ตรวจสอบข้อมูล",IF(BV13&lt;-2,"ผอม",IF(BV13&lt;-1.5,"ค่อนข้างผอม",IF(BV13&lt;=1.5,"สมส่วน",IF(BV13&lt;=2,"ท้วม",IF(BV13&lt;=3,"เริ่มอ้วน","อ้วน")))))))</f>
        <v/>
      </c>
      <c r="BT13" s="232">
        <f>IF(OR($B13="",BP13="",BQ13=""),"",IF(BW13="","ตรวจสอบข้อมูล",IF(BW13&lt;-2,"เตี้ย",IF(BW13&lt;-1.5,"ค่อนข้างเตี้ย",IF(BW13&lt;=1.5,"ตามเกณฑ์",IF(BW13&lt;=2,"ค่อนข้างสูง","สูง"))))))</f>
        <v/>
      </c>
      <c r="BU13" s="404">
        <f>IF(OR($B13="",BP13="",BQ13="",'ข้อมูลนักเรียน'!$S13=""),"",IFERROR(DATEDIF('ข้อมูลนักเรียน'!$S13,DATE('ข้อมูลโรงเรียน'!$C$12-542,1,IF($BR$6="",15,$BR$6)),"m"),""))</f>
        <v/>
      </c>
      <c r="BV13" s="404">
        <f>IF(BU13="","",IF(OR(BU13&lt;24,BU13&gt;71,BQ13&lt;65,BQ13&gt;120,(IF('ข้อมูลนักเรียน'!$D13="ด.ช.",0,IF('ข้อมูลนักเรียน'!$D13="ด.ญ.",3,-99)))&lt;0),"",IFERROR(((BP13/INDEX('เกณฑ์WHO'!$B$2:$G$112,MATCH(ROUND(BQ13*2,0)/2,'เกณฑ์WHO'!$A$2:$A$112,0),2+(IF('ข้อมูลนักเรียน'!$D13="ด.ช.",0,IF('ข้อมูลนักเรียน'!$D13="ด.ญ.",3,-99)))))^INDEX('เกณฑ์WHO'!$B$2:$G$112,MATCH(ROUND(BQ13*2,0)/2,'เกณฑ์WHO'!$A$2:$A$112,0),1+(IF('ข้อมูลนักเรียน'!$D13="ด.ช.",0,IF('ข้อมูลนักเรียน'!$D13="ด.ญ.",3,-99))))-1)/(INDEX('เกณฑ์WHO'!$B$2:$G$112,MATCH(ROUND(BQ13*2,0)/2,'เกณฑ์WHO'!$A$2:$A$112,0),1+(IF('ข้อมูลนักเรียน'!$D13="ด.ช.",0,IF('ข้อมูลนักเรียน'!$D13="ด.ญ.",3,-99))))*INDEX('เกณฑ์WHO'!$B$2:$G$112,MATCH(ROUND(BQ13*2,0)/2,'เกณฑ์WHO'!$A$2:$A$112,0),3+(IF('ข้อมูลนักเรียน'!$D13="ด.ช.",0,IF('ข้อมูลนักเรียน'!$D13="ด.ญ.",3,-99))))),"")))</f>
        <v/>
      </c>
      <c r="BW13" s="404">
        <f>IF(BU13="","",IF(OR(BU13&lt;24,BU13&gt;71,(IF('ข้อมูลนักเรียน'!$D13="ด.ช.",0,IF('ข้อมูลนักเรียน'!$D13="ด.ญ.",2,-99)))&lt;0),"",IFERROR((BQ13/INDEX('เกณฑ์WHO'!$J$2:$M$61,MATCH(BU13,'เกณฑ์WHO'!$I$2:$I$61,0),1+(IF('ข้อมูลนักเรียน'!$D13="ด.ช.",0,IF('ข้อมูลนักเรียน'!$D13="ด.ญ.",2,-99))))-1)/INDEX('เกณฑ์WHO'!$J$2:$M$61,MATCH(BU13,'เกณฑ์WHO'!$I$2:$I$61,0),2+(IF('ข้อมูลนักเรียน'!$D13="ด.ช.",0,IF('ข้อมูลนักเรียน'!$D13="ด.ญ.",2,-99)))),"")))</f>
        <v/>
      </c>
      <c r="BX13" s="401" t="n"/>
      <c r="BY13" s="402" t="n"/>
      <c r="BZ13" s="403">
        <f>IF(OR(BX13="",BY13=""),"",ROUND(BX13/(BY13/100)^2,1))</f>
        <v/>
      </c>
      <c r="CA13" s="232">
        <f>IF(OR($B13="",BX13="",BY13=""),"",IF(CD13="","ตรวจสอบข้อมูล",IF(CD13&lt;-2,"ผอม",IF(CD13&lt;-1.5,"ค่อนข้างผอม",IF(CD13&lt;=1.5,"สมส่วน",IF(CD13&lt;=2,"ท้วม",IF(CD13&lt;=3,"เริ่มอ้วน","อ้วน")))))))</f>
        <v/>
      </c>
      <c r="CB13" s="232">
        <f>IF(OR($B13="",BX13="",BY13=""),"",IF(CE13="","ตรวจสอบข้อมูล",IF(CE13&lt;-2,"เตี้ย",IF(CE13&lt;-1.5,"ค่อนข้างเตี้ย",IF(CE13&lt;=1.5,"ตามเกณฑ์",IF(CE13&lt;=2,"ค่อนข้างสูง","สูง"))))))</f>
        <v/>
      </c>
      <c r="CC13" s="404">
        <f>IF(OR($B13="",BX13="",BY13="",'ข้อมูลนักเรียน'!$S13=""),"",IFERROR(DATEDIF('ข้อมูลนักเรียน'!$S13,DATE('ข้อมูลโรงเรียน'!$C$12-542,2,IF($BZ$6="",15,$BZ$6)),"m"),""))</f>
        <v/>
      </c>
      <c r="CD13" s="404">
        <f>IF(CC13="","",IF(OR(CC13&lt;24,CC13&gt;71,BY13&lt;65,BY13&gt;120,(IF('ข้อมูลนักเรียน'!$D13="ด.ช.",0,IF('ข้อมูลนักเรียน'!$D13="ด.ญ.",3,-99)))&lt;0),"",IFERROR(((BX13/INDEX('เกณฑ์WHO'!$B$2:$G$112,MATCH(ROUND(BY13*2,0)/2,'เกณฑ์WHO'!$A$2:$A$112,0),2+(IF('ข้อมูลนักเรียน'!$D13="ด.ช.",0,IF('ข้อมูลนักเรียน'!$D13="ด.ญ.",3,-99)))))^INDEX('เกณฑ์WHO'!$B$2:$G$112,MATCH(ROUND(BY13*2,0)/2,'เกณฑ์WHO'!$A$2:$A$112,0),1+(IF('ข้อมูลนักเรียน'!$D13="ด.ช.",0,IF('ข้อมูลนักเรียน'!$D13="ด.ญ.",3,-99))))-1)/(INDEX('เกณฑ์WHO'!$B$2:$G$112,MATCH(ROUND(BY13*2,0)/2,'เกณฑ์WHO'!$A$2:$A$112,0),1+(IF('ข้อมูลนักเรียน'!$D13="ด.ช.",0,IF('ข้อมูลนักเรียน'!$D13="ด.ญ.",3,-99))))*INDEX('เกณฑ์WHO'!$B$2:$G$112,MATCH(ROUND(BY13*2,0)/2,'เกณฑ์WHO'!$A$2:$A$112,0),3+(IF('ข้อมูลนักเรียน'!$D13="ด.ช.",0,IF('ข้อมูลนักเรียน'!$D13="ด.ญ.",3,-99))))),"")))</f>
        <v/>
      </c>
      <c r="CE13" s="404">
        <f>IF(CC13="","",IF(OR(CC13&lt;24,CC13&gt;71,(IF('ข้อมูลนักเรียน'!$D13="ด.ช.",0,IF('ข้อมูลนักเรียน'!$D13="ด.ญ.",2,-99)))&lt;0),"",IFERROR((BY13/INDEX('เกณฑ์WHO'!$J$2:$M$61,MATCH(CC13,'เกณฑ์WHO'!$I$2:$I$61,0),1+(IF('ข้อมูลนักเรียน'!$D13="ด.ช.",0,IF('ข้อมูลนักเรียน'!$D13="ด.ญ.",2,-99))))-1)/INDEX('เกณฑ์WHO'!$J$2:$M$61,MATCH(CC13,'เกณฑ์WHO'!$I$2:$I$61,0),2+(IF('ข้อมูลนักเรียน'!$D13="ด.ช.",0,IF('ข้อมูลนักเรียน'!$D13="ด.ญ.",2,-99)))),"")))</f>
        <v/>
      </c>
      <c r="CF13" s="401" t="n"/>
      <c r="CG13" s="402" t="n"/>
      <c r="CH13" s="403">
        <f>IF(OR(CF13="",CG13=""),"",ROUND(CF13/(CG13/100)^2,1))</f>
        <v/>
      </c>
      <c r="CI13" s="232">
        <f>IF(OR($B13="",CF13="",CG13=""),"",IF(CL13="","ตรวจสอบข้อมูล",IF(CL13&lt;-2,"ผอม",IF(CL13&lt;-1.5,"ค่อนข้างผอม",IF(CL13&lt;=1.5,"สมส่วน",IF(CL13&lt;=2,"ท้วม",IF(CL13&lt;=3,"เริ่มอ้วน","อ้วน")))))))</f>
        <v/>
      </c>
      <c r="CJ13" s="232">
        <f>IF(OR($B13="",CF13="",CG13=""),"",IF(CM13="","ตรวจสอบข้อมูล",IF(CM13&lt;-2,"เตี้ย",IF(CM13&lt;-1.5,"ค่อนข้างเตี้ย",IF(CM13&lt;=1.5,"ตามเกณฑ์",IF(CM13&lt;=2,"ค่อนข้างสูง","สูง"))))))</f>
        <v/>
      </c>
      <c r="CK13" s="404">
        <f>IF(OR($B13="",CF13="",CG13="",'ข้อมูลนักเรียน'!$S13=""),"",IFERROR(DATEDIF('ข้อมูลนักเรียน'!$S13,DATE('ข้อมูลโรงเรียน'!$C$12-542,3,IF($CH$6="",15,$CH$6)),"m"),""))</f>
        <v/>
      </c>
      <c r="CL13" s="404">
        <f>IF(CK13="","",IF(OR(CK13&lt;24,CK13&gt;71,CG13&lt;65,CG13&gt;120,(IF('ข้อมูลนักเรียน'!$D13="ด.ช.",0,IF('ข้อมูลนักเรียน'!$D13="ด.ญ.",3,-99)))&lt;0),"",IFERROR(((CF13/INDEX('เกณฑ์WHO'!$B$2:$G$112,MATCH(ROUND(CG13*2,0)/2,'เกณฑ์WHO'!$A$2:$A$112,0),2+(IF('ข้อมูลนักเรียน'!$D13="ด.ช.",0,IF('ข้อมูลนักเรียน'!$D13="ด.ญ.",3,-99)))))^INDEX('เกณฑ์WHO'!$B$2:$G$112,MATCH(ROUND(CG13*2,0)/2,'เกณฑ์WHO'!$A$2:$A$112,0),1+(IF('ข้อมูลนักเรียน'!$D13="ด.ช.",0,IF('ข้อมูลนักเรียน'!$D13="ด.ญ.",3,-99))))-1)/(INDEX('เกณฑ์WHO'!$B$2:$G$112,MATCH(ROUND(CG13*2,0)/2,'เกณฑ์WHO'!$A$2:$A$112,0),1+(IF('ข้อมูลนักเรียน'!$D13="ด.ช.",0,IF('ข้อมูลนักเรียน'!$D13="ด.ญ.",3,-99))))*INDEX('เกณฑ์WHO'!$B$2:$G$112,MATCH(ROUND(CG13*2,0)/2,'เกณฑ์WHO'!$A$2:$A$112,0),3+(IF('ข้อมูลนักเรียน'!$D13="ด.ช.",0,IF('ข้อมูลนักเรียน'!$D13="ด.ญ.",3,-99))))),"")))</f>
        <v/>
      </c>
      <c r="CM13" s="404">
        <f>IF(CK13="","",IF(OR(CK13&lt;24,CK13&gt;71,(IF('ข้อมูลนักเรียน'!$D13="ด.ช.",0,IF('ข้อมูลนักเรียน'!$D13="ด.ญ.",2,-99)))&lt;0),"",IFERROR((CG13/INDEX('เกณฑ์WHO'!$J$2:$M$61,MATCH(CK13,'เกณฑ์WHO'!$I$2:$I$61,0),1+(IF('ข้อมูลนักเรียน'!$D13="ด.ช.",0,IF('ข้อมูลนักเรียน'!$D13="ด.ญ.",2,-99))))-1)/INDEX('เกณฑ์WHO'!$J$2:$M$61,MATCH(CK13,'เกณฑ์WHO'!$I$2:$I$61,0),2+(IF('ข้อมูลนักเรียน'!$D13="ด.ช.",0,IF('ข้อมูลนักเรียน'!$D13="ด.ญ.",2,-99)))),"")))</f>
        <v/>
      </c>
      <c r="CO13">
        <f>IF(N(AR13)&gt;0,AR13,IF(N(AJ13)&gt;0,AJ13,IF(N(AB13)&gt;0,AB13,IF(N(T13)&gt;0,T13,IF(N(L13)&gt;0,L13,IF(N(D13)&gt;0,D13,""))))))</f>
        <v/>
      </c>
      <c r="CP13">
        <f>IF(N(AR13)&gt;0,AS13,IF(N(AJ13)&gt;0,AK13,IF(N(AB13)&gt;0,AC13,IF(N(T13)&gt;0,U13,IF(N(L13)&gt;0,M13,IF(N(D13)&gt;0,E13,""))))))</f>
        <v/>
      </c>
      <c r="CQ13">
        <f>IF(N(AR13)&gt;0,AU13,IF(N(AJ13)&gt;0,AM13,IF(N(AB13)&gt;0,AE13,IF(N(T13)&gt;0,W13,IF(N(L13)&gt;0,O13,IF(N(D13)&gt;0,G13,""))))))</f>
        <v/>
      </c>
      <c r="CR13">
        <f>IF(N(AR13)&gt;0,AV13,IF(N(AJ13)&gt;0,AN13,IF(N(AB13)&gt;0,AF13,IF(N(T13)&gt;0,X13,IF(N(L13)&gt;0,P13,IF(N(D13)&gt;0,H13,""))))))</f>
        <v/>
      </c>
      <c r="CS13">
        <f>IF(N(AR13)&gt;0,"ตุลาคม",IF(N(AJ13)&gt;0,"กันยายน",IF(N(AB13)&gt;0,"สิงหาคม",IF(N(T13)&gt;0,"กรกฎาคม",IF(N(L13)&gt;0,"มิถุนายน",IF(N(D13)&gt;0,"พฤษภาคม",""))))))</f>
        <v/>
      </c>
      <c r="CT13">
        <f>IF(N(CF13)&gt;0,CF13,IF(N(BX13)&gt;0,BX13,IF(N(BP13)&gt;0,BP13,IF(N(BH13)&gt;0,BH13,IF(N(AZ13)&gt;0,AZ13,"")))))</f>
        <v/>
      </c>
      <c r="CU13">
        <f>IF(N(CF13)&gt;0,CG13,IF(N(BX13)&gt;0,BY13,IF(N(BP13)&gt;0,BQ13,IF(N(BH13)&gt;0,BI13,IF(N(AZ13)&gt;0,BA13,"")))))</f>
        <v/>
      </c>
      <c r="CV13">
        <f>IF(N(CF13)&gt;0,CI13,IF(N(BX13)&gt;0,CA13,IF(N(BP13)&gt;0,BS13,IF(N(BH13)&gt;0,BK13,IF(N(AZ13)&gt;0,BC13,"")))))</f>
        <v/>
      </c>
      <c r="CW13">
        <f>IF(N(CF13)&gt;0,CJ13,IF(N(BX13)&gt;0,CB13,IF(N(BP13)&gt;0,BT13,IF(N(BH13)&gt;0,BL13,IF(N(AZ13)&gt;0,BD13,"")))))</f>
        <v/>
      </c>
      <c r="CX13">
        <f>IF(N(CF13)&gt;0,"มีนาคม",IF(N(BX13)&gt;0,"กุมภาพันธ์",IF(N(BP13)&gt;0,"มกราคม",IF(N(BH13)&gt;0,"ธันวาคม",IF(N(AZ13)&gt;0,"พฤศจิกายน","")))))</f>
        <v/>
      </c>
    </row>
    <row r="14"/>
    <row r="15">
      <c r="B15" s="405" t="inlineStr">
        <is>
          <t>สรุปน้ำหนักตามเกณฑ์ส่วนสูง (คน)</t>
        </is>
      </c>
    </row>
    <row r="16">
      <c r="B16" s="406" t="inlineStr">
        <is>
          <t>ผอม</t>
        </is>
      </c>
      <c r="G16" s="407">
        <f>COUNTIF(G9:G13,"ผอม")</f>
        <v/>
      </c>
      <c r="O16" s="407">
        <f>COUNTIF(O9:O13,"ผอม")</f>
        <v/>
      </c>
      <c r="W16" s="407">
        <f>COUNTIF(W9:W13,"ผอม")</f>
        <v/>
      </c>
      <c r="AE16" s="407">
        <f>COUNTIF(AE9:AE13,"ผอม")</f>
        <v/>
      </c>
      <c r="AM16" s="407">
        <f>COUNTIF(AM9:AM13,"ผอม")</f>
        <v/>
      </c>
      <c r="AU16" s="407">
        <f>COUNTIF(AU9:AU13,"ผอม")</f>
        <v/>
      </c>
      <c r="BC16" s="407">
        <f>COUNTIF(BC9:BC13,"ผอม")</f>
        <v/>
      </c>
      <c r="BK16" s="407">
        <f>COUNTIF(BK9:BK13,"ผอม")</f>
        <v/>
      </c>
      <c r="BS16" s="407">
        <f>COUNTIF(BS9:BS13,"ผอม")</f>
        <v/>
      </c>
      <c r="CA16" s="407">
        <f>COUNTIF(CA9:CA13,"ผอม")</f>
        <v/>
      </c>
      <c r="CI16" s="407">
        <f>COUNTIF(CI9:CI13,"ผอม")</f>
        <v/>
      </c>
    </row>
    <row r="17">
      <c r="B17" s="408" t="inlineStr">
        <is>
          <t>ค่อนข้างผอม</t>
        </is>
      </c>
      <c r="G17" s="409">
        <f>COUNTIF(G9:G13,"ค่อนข้างผอม")</f>
        <v/>
      </c>
      <c r="O17" s="409">
        <f>COUNTIF(O9:O13,"ค่อนข้างผอม")</f>
        <v/>
      </c>
      <c r="W17" s="409">
        <f>COUNTIF(W9:W13,"ค่อนข้างผอม")</f>
        <v/>
      </c>
      <c r="AE17" s="409">
        <f>COUNTIF(AE9:AE13,"ค่อนข้างผอม")</f>
        <v/>
      </c>
      <c r="AM17" s="409">
        <f>COUNTIF(AM9:AM13,"ค่อนข้างผอม")</f>
        <v/>
      </c>
      <c r="AU17" s="409">
        <f>COUNTIF(AU9:AU13,"ค่อนข้างผอม")</f>
        <v/>
      </c>
      <c r="BC17" s="409">
        <f>COUNTIF(BC9:BC13,"ค่อนข้างผอม")</f>
        <v/>
      </c>
      <c r="BK17" s="409">
        <f>COUNTIF(BK9:BK13,"ค่อนข้างผอม")</f>
        <v/>
      </c>
      <c r="BS17" s="409">
        <f>COUNTIF(BS9:BS13,"ค่อนข้างผอม")</f>
        <v/>
      </c>
      <c r="CA17" s="409">
        <f>COUNTIF(CA9:CA13,"ค่อนข้างผอม")</f>
        <v/>
      </c>
      <c r="CI17" s="409">
        <f>COUNTIF(CI9:CI13,"ค่อนข้างผอม")</f>
        <v/>
      </c>
    </row>
    <row r="18">
      <c r="B18" s="410" t="inlineStr">
        <is>
          <t>สมส่วน</t>
        </is>
      </c>
      <c r="G18" s="411">
        <f>COUNTIF(G9:G13,"สมส่วน")</f>
        <v/>
      </c>
      <c r="O18" s="411">
        <f>COUNTIF(O9:O13,"สมส่วน")</f>
        <v/>
      </c>
      <c r="W18" s="411">
        <f>COUNTIF(W9:W13,"สมส่วน")</f>
        <v/>
      </c>
      <c r="AE18" s="411">
        <f>COUNTIF(AE9:AE13,"สมส่วน")</f>
        <v/>
      </c>
      <c r="AM18" s="411">
        <f>COUNTIF(AM9:AM13,"สมส่วน")</f>
        <v/>
      </c>
      <c r="AU18" s="411">
        <f>COUNTIF(AU9:AU13,"สมส่วน")</f>
        <v/>
      </c>
      <c r="BC18" s="411">
        <f>COUNTIF(BC9:BC13,"สมส่วน")</f>
        <v/>
      </c>
      <c r="BK18" s="411">
        <f>COUNTIF(BK9:BK13,"สมส่วน")</f>
        <v/>
      </c>
      <c r="BS18" s="411">
        <f>COUNTIF(BS9:BS13,"สมส่วน")</f>
        <v/>
      </c>
      <c r="CA18" s="411">
        <f>COUNTIF(CA9:CA13,"สมส่วน")</f>
        <v/>
      </c>
      <c r="CI18" s="411">
        <f>COUNTIF(CI9:CI13,"สมส่วน")</f>
        <v/>
      </c>
    </row>
    <row r="19">
      <c r="B19" s="408" t="inlineStr">
        <is>
          <t>ท้วม</t>
        </is>
      </c>
      <c r="G19" s="409">
        <f>COUNTIF(G9:G13,"ท้วม")</f>
        <v/>
      </c>
      <c r="O19" s="409">
        <f>COUNTIF(O9:O13,"ท้วม")</f>
        <v/>
      </c>
      <c r="W19" s="409">
        <f>COUNTIF(W9:W13,"ท้วม")</f>
        <v/>
      </c>
      <c r="AE19" s="409">
        <f>COUNTIF(AE9:AE13,"ท้วม")</f>
        <v/>
      </c>
      <c r="AM19" s="409">
        <f>COUNTIF(AM9:AM13,"ท้วม")</f>
        <v/>
      </c>
      <c r="AU19" s="409">
        <f>COUNTIF(AU9:AU13,"ท้วม")</f>
        <v/>
      </c>
      <c r="BC19" s="409">
        <f>COUNTIF(BC9:BC13,"ท้วม")</f>
        <v/>
      </c>
      <c r="BK19" s="409">
        <f>COUNTIF(BK9:BK13,"ท้วม")</f>
        <v/>
      </c>
      <c r="BS19" s="409">
        <f>COUNTIF(BS9:BS13,"ท้วม")</f>
        <v/>
      </c>
      <c r="CA19" s="409">
        <f>COUNTIF(CA9:CA13,"ท้วม")</f>
        <v/>
      </c>
      <c r="CI19" s="409">
        <f>COUNTIF(CI9:CI13,"ท้วม")</f>
        <v/>
      </c>
    </row>
    <row r="20">
      <c r="B20" s="412" t="inlineStr">
        <is>
          <t>เริ่มอ้วน</t>
        </is>
      </c>
      <c r="G20" s="413">
        <f>COUNTIF(G9:G13,"เริ่มอ้วน")</f>
        <v/>
      </c>
      <c r="O20" s="413">
        <f>COUNTIF(O9:O13,"เริ่มอ้วน")</f>
        <v/>
      </c>
      <c r="W20" s="413">
        <f>COUNTIF(W9:W13,"เริ่มอ้วน")</f>
        <v/>
      </c>
      <c r="AE20" s="413">
        <f>COUNTIF(AE9:AE13,"เริ่มอ้วน")</f>
        <v/>
      </c>
      <c r="AM20" s="413">
        <f>COUNTIF(AM9:AM13,"เริ่มอ้วน")</f>
        <v/>
      </c>
      <c r="AU20" s="413">
        <f>COUNTIF(AU9:AU13,"เริ่มอ้วน")</f>
        <v/>
      </c>
      <c r="BC20" s="413">
        <f>COUNTIF(BC9:BC13,"เริ่มอ้วน")</f>
        <v/>
      </c>
      <c r="BK20" s="413">
        <f>COUNTIF(BK9:BK13,"เริ่มอ้วน")</f>
        <v/>
      </c>
      <c r="BS20" s="413">
        <f>COUNTIF(BS9:BS13,"เริ่มอ้วน")</f>
        <v/>
      </c>
      <c r="CA20" s="413">
        <f>COUNTIF(CA9:CA13,"เริ่มอ้วน")</f>
        <v/>
      </c>
      <c r="CI20" s="413">
        <f>COUNTIF(CI9:CI13,"เริ่มอ้วน")</f>
        <v/>
      </c>
    </row>
    <row r="21">
      <c r="B21" s="406" t="inlineStr">
        <is>
          <t>อ้วน</t>
        </is>
      </c>
      <c r="G21" s="407">
        <f>COUNTIF(G9:G13,"อ้วน")</f>
        <v/>
      </c>
      <c r="O21" s="407">
        <f>COUNTIF(O9:O13,"อ้วน")</f>
        <v/>
      </c>
      <c r="W21" s="407">
        <f>COUNTIF(W9:W13,"อ้วน")</f>
        <v/>
      </c>
      <c r="AE21" s="407">
        <f>COUNTIF(AE9:AE13,"อ้วน")</f>
        <v/>
      </c>
      <c r="AM21" s="407">
        <f>COUNTIF(AM9:AM13,"อ้วน")</f>
        <v/>
      </c>
      <c r="AU21" s="407">
        <f>COUNTIF(AU9:AU13,"อ้วน")</f>
        <v/>
      </c>
      <c r="BC21" s="407">
        <f>COUNTIF(BC9:BC13,"อ้วน")</f>
        <v/>
      </c>
      <c r="BK21" s="407">
        <f>COUNTIF(BK9:BK13,"อ้วน")</f>
        <v/>
      </c>
      <c r="BS21" s="407">
        <f>COUNTIF(BS9:BS13,"อ้วน")</f>
        <v/>
      </c>
      <c r="CA21" s="407">
        <f>COUNTIF(CA9:CA13,"อ้วน")</f>
        <v/>
      </c>
      <c r="CI21" s="407">
        <f>COUNTIF(CI9:CI13,"อ้วน")</f>
        <v/>
      </c>
    </row>
    <row r="22"/>
    <row r="23">
      <c r="B23" s="405" t="inlineStr">
        <is>
          <t>สรุปส่วนสูงตามเกณฑ์อายุ (คน)</t>
        </is>
      </c>
    </row>
    <row r="24">
      <c r="B24" s="406" t="inlineStr">
        <is>
          <t>เตี้ย</t>
        </is>
      </c>
      <c r="H24" s="407">
        <f>COUNTIF(H9:H13,"เตี้ย")</f>
        <v/>
      </c>
      <c r="P24" s="407">
        <f>COUNTIF(P9:P13,"เตี้ย")</f>
        <v/>
      </c>
      <c r="X24" s="407">
        <f>COUNTIF(X9:X13,"เตี้ย")</f>
        <v/>
      </c>
      <c r="AF24" s="407">
        <f>COUNTIF(AF9:AF13,"เตี้ย")</f>
        <v/>
      </c>
      <c r="AN24" s="407">
        <f>COUNTIF(AN9:AN13,"เตี้ย")</f>
        <v/>
      </c>
      <c r="AV24" s="407">
        <f>COUNTIF(AV9:AV13,"เตี้ย")</f>
        <v/>
      </c>
      <c r="BD24" s="407">
        <f>COUNTIF(BD9:BD13,"เตี้ย")</f>
        <v/>
      </c>
      <c r="BL24" s="407">
        <f>COUNTIF(BL9:BL13,"เตี้ย")</f>
        <v/>
      </c>
      <c r="BT24" s="407">
        <f>COUNTIF(BT9:BT13,"เตี้ย")</f>
        <v/>
      </c>
      <c r="CB24" s="407">
        <f>COUNTIF(CB9:CB13,"เตี้ย")</f>
        <v/>
      </c>
      <c r="CJ24" s="407">
        <f>COUNTIF(CJ9:CJ13,"เตี้ย")</f>
        <v/>
      </c>
    </row>
    <row r="25">
      <c r="B25" s="408" t="inlineStr">
        <is>
          <t>ค่อนข้างเตี้ย</t>
        </is>
      </c>
      <c r="H25" s="409">
        <f>COUNTIF(H9:H13,"ค่อนข้างเตี้ย")</f>
        <v/>
      </c>
      <c r="P25" s="409">
        <f>COUNTIF(P9:P13,"ค่อนข้างเตี้ย")</f>
        <v/>
      </c>
      <c r="X25" s="409">
        <f>COUNTIF(X9:X13,"ค่อนข้างเตี้ย")</f>
        <v/>
      </c>
      <c r="AF25" s="409">
        <f>COUNTIF(AF9:AF13,"ค่อนข้างเตี้ย")</f>
        <v/>
      </c>
      <c r="AN25" s="409">
        <f>COUNTIF(AN9:AN13,"ค่อนข้างเตี้ย")</f>
        <v/>
      </c>
      <c r="AV25" s="409">
        <f>COUNTIF(AV9:AV13,"ค่อนข้างเตี้ย")</f>
        <v/>
      </c>
      <c r="BD25" s="409">
        <f>COUNTIF(BD9:BD13,"ค่อนข้างเตี้ย")</f>
        <v/>
      </c>
      <c r="BL25" s="409">
        <f>COUNTIF(BL9:BL13,"ค่อนข้างเตี้ย")</f>
        <v/>
      </c>
      <c r="BT25" s="409">
        <f>COUNTIF(BT9:BT13,"ค่อนข้างเตี้ย")</f>
        <v/>
      </c>
      <c r="CB25" s="409">
        <f>COUNTIF(CB9:CB13,"ค่อนข้างเตี้ย")</f>
        <v/>
      </c>
      <c r="CJ25" s="409">
        <f>COUNTIF(CJ9:CJ13,"ค่อนข้างเตี้ย")</f>
        <v/>
      </c>
    </row>
    <row r="26">
      <c r="B26" s="410" t="inlineStr">
        <is>
          <t>ตามเกณฑ์</t>
        </is>
      </c>
      <c r="H26" s="411">
        <f>COUNTIF(H9:H13,"ตามเกณฑ์")</f>
        <v/>
      </c>
      <c r="P26" s="411">
        <f>COUNTIF(P9:P13,"ตามเกณฑ์")</f>
        <v/>
      </c>
      <c r="X26" s="411">
        <f>COUNTIF(X9:X13,"ตามเกณฑ์")</f>
        <v/>
      </c>
      <c r="AF26" s="411">
        <f>COUNTIF(AF9:AF13,"ตามเกณฑ์")</f>
        <v/>
      </c>
      <c r="AN26" s="411">
        <f>COUNTIF(AN9:AN13,"ตามเกณฑ์")</f>
        <v/>
      </c>
      <c r="AV26" s="411">
        <f>COUNTIF(AV9:AV13,"ตามเกณฑ์")</f>
        <v/>
      </c>
      <c r="BD26" s="411">
        <f>COUNTIF(BD9:BD13,"ตามเกณฑ์")</f>
        <v/>
      </c>
      <c r="BL26" s="411">
        <f>COUNTIF(BL9:BL13,"ตามเกณฑ์")</f>
        <v/>
      </c>
      <c r="BT26" s="411">
        <f>COUNTIF(BT9:BT13,"ตามเกณฑ์")</f>
        <v/>
      </c>
      <c r="CB26" s="411">
        <f>COUNTIF(CB9:CB13,"ตามเกณฑ์")</f>
        <v/>
      </c>
      <c r="CJ26" s="411">
        <f>COUNTIF(CJ9:CJ13,"ตามเกณฑ์")</f>
        <v/>
      </c>
    </row>
    <row r="27">
      <c r="B27" s="414" t="inlineStr">
        <is>
          <t>ค่อนข้างสูง</t>
        </is>
      </c>
      <c r="H27" s="415">
        <f>COUNTIF(H9:H13,"ค่อนข้างสูง")</f>
        <v/>
      </c>
      <c r="P27" s="415">
        <f>COUNTIF(P9:P13,"ค่อนข้างสูง")</f>
        <v/>
      </c>
      <c r="X27" s="415">
        <f>COUNTIF(X9:X13,"ค่อนข้างสูง")</f>
        <v/>
      </c>
      <c r="AF27" s="415">
        <f>COUNTIF(AF9:AF13,"ค่อนข้างสูง")</f>
        <v/>
      </c>
      <c r="AN27" s="415">
        <f>COUNTIF(AN9:AN13,"ค่อนข้างสูง")</f>
        <v/>
      </c>
      <c r="AV27" s="415">
        <f>COUNTIF(AV9:AV13,"ค่อนข้างสูง")</f>
        <v/>
      </c>
      <c r="BD27" s="415">
        <f>COUNTIF(BD9:BD13,"ค่อนข้างสูง")</f>
        <v/>
      </c>
      <c r="BL27" s="415">
        <f>COUNTIF(BL9:BL13,"ค่อนข้างสูง")</f>
        <v/>
      </c>
      <c r="BT27" s="415">
        <f>COUNTIF(BT9:BT13,"ค่อนข้างสูง")</f>
        <v/>
      </c>
      <c r="CB27" s="415">
        <f>COUNTIF(CB9:CB13,"ค่อนข้างสูง")</f>
        <v/>
      </c>
      <c r="CJ27" s="415">
        <f>COUNTIF(CJ9:CJ13,"ค่อนข้างสูง")</f>
        <v/>
      </c>
    </row>
    <row r="28">
      <c r="B28" s="414" t="inlineStr">
        <is>
          <t>สูง</t>
        </is>
      </c>
      <c r="H28" s="415">
        <f>COUNTIF(H9:H13,"สูง")</f>
        <v/>
      </c>
      <c r="P28" s="415">
        <f>COUNTIF(P9:P13,"สูง")</f>
        <v/>
      </c>
      <c r="X28" s="415">
        <f>COUNTIF(X9:X13,"สูง")</f>
        <v/>
      </c>
      <c r="AF28" s="415">
        <f>COUNTIF(AF9:AF13,"สูง")</f>
        <v/>
      </c>
      <c r="AN28" s="415">
        <f>COUNTIF(AN9:AN13,"สูง")</f>
        <v/>
      </c>
      <c r="AV28" s="415">
        <f>COUNTIF(AV9:AV13,"สูง")</f>
        <v/>
      </c>
      <c r="BD28" s="415">
        <f>COUNTIF(BD9:BD13,"สูง")</f>
        <v/>
      </c>
      <c r="BL28" s="415">
        <f>COUNTIF(BL9:BL13,"สูง")</f>
        <v/>
      </c>
      <c r="BT28" s="415">
        <f>COUNTIF(BT9:BT13,"สูง")</f>
        <v/>
      </c>
      <c r="CB28" s="415">
        <f>COUNTIF(CB9:CB13,"สูง")</f>
        <v/>
      </c>
      <c r="CJ28" s="415">
        <f>COUNTIF(CJ9:CJ13,"สูง")</f>
        <v/>
      </c>
    </row>
    <row r="29"/>
    <row r="30">
      <c r="B30" s="416" t="inlineStr">
        <is>
          <t>สูงดีสมส่วน (คน)</t>
        </is>
      </c>
      <c r="G30" s="417">
        <f>COUNTIFS(G9:G13,"สมส่วน",H9:H13,"ตามเกณฑ์")+COUNTIFS(G9:G13,"สมส่วน",H9:H13,"ค่อนข้างสูง")+COUNTIFS(G9:G13,"สมส่วน",H9:H13,"สูง")</f>
        <v/>
      </c>
      <c r="O30" s="417">
        <f>COUNTIFS(O9:O13,"สมส่วน",P9:P13,"ตามเกณฑ์")+COUNTIFS(O9:O13,"สมส่วน",P9:P13,"ค่อนข้างสูง")+COUNTIFS(O9:O13,"สมส่วน",P9:P13,"สูง")</f>
        <v/>
      </c>
      <c r="W30" s="417">
        <f>COUNTIFS(W9:W13,"สมส่วน",X9:X13,"ตามเกณฑ์")+COUNTIFS(W9:W13,"สมส่วน",X9:X13,"ค่อนข้างสูง")+COUNTIFS(W9:W13,"สมส่วน",X9:X13,"สูง")</f>
        <v/>
      </c>
      <c r="AE30" s="417">
        <f>COUNTIFS(AE9:AE13,"สมส่วน",AF9:AF13,"ตามเกณฑ์")+COUNTIFS(AE9:AE13,"สมส่วน",AF9:AF13,"ค่อนข้างสูง")+COUNTIFS(AE9:AE13,"สมส่วน",AF9:AF13,"สูง")</f>
        <v/>
      </c>
      <c r="AM30" s="417">
        <f>COUNTIFS(AM9:AM13,"สมส่วน",AN9:AN13,"ตามเกณฑ์")+COUNTIFS(AM9:AM13,"สมส่วน",AN9:AN13,"ค่อนข้างสูง")+COUNTIFS(AM9:AM13,"สมส่วน",AN9:AN13,"สูง")</f>
        <v/>
      </c>
      <c r="AU30" s="417">
        <f>COUNTIFS(AU9:AU13,"สมส่วน",AV9:AV13,"ตามเกณฑ์")+COUNTIFS(AU9:AU13,"สมส่วน",AV9:AV13,"ค่อนข้างสูง")+COUNTIFS(AU9:AU13,"สมส่วน",AV9:AV13,"สูง")</f>
        <v/>
      </c>
      <c r="BC30" s="417">
        <f>COUNTIFS(BC9:BC13,"สมส่วน",BD9:BD13,"ตามเกณฑ์")+COUNTIFS(BC9:BC13,"สมส่วน",BD9:BD13,"ค่อนข้างสูง")+COUNTIFS(BC9:BC13,"สมส่วน",BD9:BD13,"สูง")</f>
        <v/>
      </c>
      <c r="BK30" s="417">
        <f>COUNTIFS(BK9:BK13,"สมส่วน",BL9:BL13,"ตามเกณฑ์")+COUNTIFS(BK9:BK13,"สมส่วน",BL9:BL13,"ค่อนข้างสูง")+COUNTIFS(BK9:BK13,"สมส่วน",BL9:BL13,"สูง")</f>
        <v/>
      </c>
      <c r="BS30" s="417">
        <f>COUNTIFS(BS9:BS13,"สมส่วน",BT9:BT13,"ตามเกณฑ์")+COUNTIFS(BS9:BS13,"สมส่วน",BT9:BT13,"ค่อนข้างสูง")+COUNTIFS(BS9:BS13,"สมส่วน",BT9:BT13,"สูง")</f>
        <v/>
      </c>
      <c r="CA30" s="417">
        <f>COUNTIFS(CA9:CA13,"สมส่วน",CB9:CB13,"ตามเกณฑ์")+COUNTIFS(CA9:CA13,"สมส่วน",CB9:CB13,"ค่อนข้างสูง")+COUNTIFS(CA9:CA13,"สมส่วน",CB9:CB13,"สูง")</f>
        <v/>
      </c>
      <c r="CI30" s="417">
        <f>COUNTIFS(CI9:CI13,"สมส่วน",CJ9:CJ13,"ตามเกณฑ์")+COUNTIFS(CI9:CI13,"สมส่วน",CJ9:CJ13,"ค่อนข้างสูง")+COUNTIFS(CI9:CI13,"สมส่วน",CJ9:CJ13,"สูง")</f>
        <v/>
      </c>
    </row>
    <row r="31">
      <c r="B31" s="418" t="inlineStr">
        <is>
          <t>ร้อยละสูงดีสมส่วน (ของเด็กที่ชั่ง-วัด)</t>
        </is>
      </c>
      <c r="G31" s="419">
        <f>IFERROR(G30/(SUMPRODUCT(--(G9:G13&lt;&gt;""))-COUNTIF(G9:G13,"ตรวจสอบข้อมูล")),"")</f>
        <v/>
      </c>
      <c r="O31" s="419">
        <f>IFERROR(O30/(SUMPRODUCT(--(O9:O13&lt;&gt;""))-COUNTIF(O9:O13,"ตรวจสอบข้อมูล")),"")</f>
        <v/>
      </c>
      <c r="W31" s="419">
        <f>IFERROR(W30/(SUMPRODUCT(--(W9:W13&lt;&gt;""))-COUNTIF(W9:W13,"ตรวจสอบข้อมูล")),"")</f>
        <v/>
      </c>
      <c r="AE31" s="419">
        <f>IFERROR(AE30/(SUMPRODUCT(--(AE9:AE13&lt;&gt;""))-COUNTIF(AE9:AE13,"ตรวจสอบข้อมูล")),"")</f>
        <v/>
      </c>
      <c r="AM31" s="419">
        <f>IFERROR(AM30/(SUMPRODUCT(--(AM9:AM13&lt;&gt;""))-COUNTIF(AM9:AM13,"ตรวจสอบข้อมูล")),"")</f>
        <v/>
      </c>
      <c r="AU31" s="419">
        <f>IFERROR(AU30/(SUMPRODUCT(--(AU9:AU13&lt;&gt;""))-COUNTIF(AU9:AU13,"ตรวจสอบข้อมูล")),"")</f>
        <v/>
      </c>
      <c r="BC31" s="419">
        <f>IFERROR(BC30/(SUMPRODUCT(--(BC9:BC13&lt;&gt;""))-COUNTIF(BC9:BC13,"ตรวจสอบข้อมูล")),"")</f>
        <v/>
      </c>
      <c r="BK31" s="419">
        <f>IFERROR(BK30/(SUMPRODUCT(--(BK9:BK13&lt;&gt;""))-COUNTIF(BK9:BK13,"ตรวจสอบข้อมูล")),"")</f>
        <v/>
      </c>
      <c r="BS31" s="419">
        <f>IFERROR(BS30/(SUMPRODUCT(--(BS9:BS13&lt;&gt;""))-COUNTIF(BS9:BS13,"ตรวจสอบข้อมูล")),"")</f>
        <v/>
      </c>
      <c r="CA31" s="419">
        <f>IFERROR(CA30/(SUMPRODUCT(--(CA9:CA13&lt;&gt;""))-COUNTIF(CA9:CA13,"ตรวจสอบข้อมูล")),"")</f>
        <v/>
      </c>
      <c r="CI31" s="419">
        <f>IFERROR(CI30/(SUMPRODUCT(--(CI9:CI13&lt;&gt;""))-COUNTIF(CI9:CI13,"ตรวจสอบข้อมูล")),"")</f>
        <v/>
      </c>
    </row>
    <row r="32"/>
    <row r="33">
      <c r="B33" s="420" t="inlineStr">
        <is>
          <t>หมายเหตุการแปลผล (ตามกรมอนามัย):</t>
        </is>
      </c>
    </row>
    <row r="34">
      <c r="B34" s="241" t="inlineStr">
        <is>
          <t>น้ำหนักตามเกณฑ์ส่วนสูง:  ผอม &lt; -2 SD  •  ค่อนข้างผอม -2 ถึง -1.5 SD  •  สมส่วน -1.5 ถึง +1.5 SD  •  ท้วม +1.5 ถึง +2 SD  •  เริ่มอ้วน +2 ถึง +3 SD  •  อ้วน &gt; +3 SD</t>
        </is>
      </c>
    </row>
    <row r="35">
      <c r="B35" s="241" t="inlineStr">
        <is>
          <t>ส่วนสูงตามเกณฑ์อายุ:  เตี้ย &lt; -2 SD  •  ค่อนข้างเตี้ย -2 ถึง -1.5 SD  •  ตามเกณฑ์ -1.5 ถึง +1.5 SD  •  ค่อนข้างสูง +1.5 ถึง +2 SD  •  สูง &gt; +2 SD</t>
        </is>
      </c>
    </row>
    <row r="36">
      <c r="B36" s="241" t="inlineStr">
        <is>
          <t>อ้างอิง: มาตรฐานการเจริญเติบโตของ WHO 2006 (เด็กอายุ 0-5 ปี) และ WHO 2007 (ส่วนสูงตามอายุ 61-71 เดือน)</t>
        </is>
      </c>
    </row>
    <row r="37">
      <c r="B37" s="241" t="inlineStr">
        <is>
          <t>“ตรวจสอบข้อมูล” = ยังไม่มีวันเกิด/คำนำหน้า, อายุไม่อยู่ในช่วง 2 ปี - 5 ปี 11 เดือน, หรือส่วนสูงนอกช่วง 65 - 120 ซม.</t>
        </is>
      </c>
    </row>
    <row r="38">
      <c r="B38" s="241" t="inlineStr">
        <is>
          <t>เด็กอายุ 6 ปีขึ้นไปให้ใช้เกณฑ์อ้างอิงการเจริญเติบโตอายุ 6-19 ปี ของกรมอนามัย</t>
        </is>
      </c>
    </row>
    <row r="39"/>
    <row r="40">
      <c r="B40" s="246" t="inlineStr">
        <is>
          <t>ลงชื่อ ........................................................</t>
        </is>
      </c>
      <c r="T40" s="246" t="inlineStr">
        <is>
          <t>ลงชื่อ ........................................................</t>
        </is>
      </c>
    </row>
    <row r="41">
      <c r="B41" s="246">
        <f>"( "&amp;IF('ข้อมูลโรงเรียน'!$C$9="","..................................................",'ข้อมูลโรงเรียน'!$C$9)&amp;" )"</f>
        <v/>
      </c>
      <c r="T41" s="246">
        <f>"( "&amp;IF('ข้อมูลโรงเรียน'!$C$11="","..................................................",'ข้อมูลโรงเรียน'!$C$11)&amp;" )"</f>
        <v/>
      </c>
    </row>
    <row r="42">
      <c r="B42" s="277" t="inlineStr">
        <is>
          <t>ครูประจำชั้น</t>
        </is>
      </c>
      <c r="T42" s="277" t="inlineStr">
        <is>
          <t>ผู้บริหารสถานศึกษา</t>
        </is>
      </c>
    </row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91">
    <mergeCell ref="CG7:CG8"/>
    <mergeCell ref="BC6:BD6"/>
    <mergeCell ref="O6:P6"/>
    <mergeCell ref="BR7:BR8"/>
    <mergeCell ref="BA7:BA8"/>
    <mergeCell ref="BC7:BC8"/>
    <mergeCell ref="CI6:CJ6"/>
    <mergeCell ref="M7:M8"/>
    <mergeCell ref="D6:E6"/>
    <mergeCell ref="CI7:CI8"/>
    <mergeCell ref="D7:D8"/>
    <mergeCell ref="P7:P8"/>
    <mergeCell ref="AM7:AM8"/>
    <mergeCell ref="CF6:CG6"/>
    <mergeCell ref="CA7:CA8"/>
    <mergeCell ref="AR6:AS6"/>
    <mergeCell ref="T7:T8"/>
    <mergeCell ref="AJ6:AK6"/>
    <mergeCell ref="V7:V8"/>
    <mergeCell ref="AN7:AN8"/>
    <mergeCell ref="AF7:AF8"/>
    <mergeCell ref="AR5:AV5"/>
    <mergeCell ref="BB7:BB8"/>
    <mergeCell ref="CJ7:CJ8"/>
    <mergeCell ref="BD7:BD8"/>
    <mergeCell ref="BH6:BI6"/>
    <mergeCell ref="AT7:AT8"/>
    <mergeCell ref="AV7:AV8"/>
    <mergeCell ref="F7:F8"/>
    <mergeCell ref="BH7:BH8"/>
    <mergeCell ref="C5:C8"/>
    <mergeCell ref="BT7:BT8"/>
    <mergeCell ref="BK6:BL6"/>
    <mergeCell ref="G7:G8"/>
    <mergeCell ref="W6:X6"/>
    <mergeCell ref="BI7:BI8"/>
    <mergeCell ref="U7:U8"/>
    <mergeCell ref="W7:W8"/>
    <mergeCell ref="CA6:CB6"/>
    <mergeCell ref="AU6:AV6"/>
    <mergeCell ref="CF7:CF8"/>
    <mergeCell ref="AS7:AS8"/>
    <mergeCell ref="AU7:AU8"/>
    <mergeCell ref="AD7:AD8"/>
    <mergeCell ref="BK7:BK8"/>
    <mergeCell ref="L6:M6"/>
    <mergeCell ref="BQ7:BQ8"/>
    <mergeCell ref="BP6:BQ6"/>
    <mergeCell ref="D5:H5"/>
    <mergeCell ref="L7:L8"/>
    <mergeCell ref="N7:N8"/>
    <mergeCell ref="BP7:BP8"/>
    <mergeCell ref="BZ7:BZ8"/>
    <mergeCell ref="CB7:CB8"/>
    <mergeCell ref="T5:X5"/>
    <mergeCell ref="AJ7:AJ8"/>
    <mergeCell ref="AZ6:BA6"/>
    <mergeCell ref="AL7:AL8"/>
    <mergeCell ref="BX5:CB5"/>
    <mergeCell ref="BH5:BL5"/>
    <mergeCell ref="BS6:BT6"/>
    <mergeCell ref="E7:E8"/>
    <mergeCell ref="O7:O8"/>
    <mergeCell ref="B5:B8"/>
    <mergeCell ref="BS7:BS8"/>
    <mergeCell ref="T6:U6"/>
    <mergeCell ref="AR7:AR8"/>
    <mergeCell ref="BY7:BY8"/>
    <mergeCell ref="AB6:AC6"/>
    <mergeCell ref="X7:X8"/>
    <mergeCell ref="AB5:AF5"/>
    <mergeCell ref="CF5:CJ5"/>
    <mergeCell ref="AZ5:BD5"/>
    <mergeCell ref="H7:H8"/>
    <mergeCell ref="G6:H6"/>
    <mergeCell ref="AZ7:AZ8"/>
    <mergeCell ref="BX6:BY6"/>
    <mergeCell ref="L5:P5"/>
    <mergeCell ref="AB7:AB8"/>
    <mergeCell ref="BJ7:BJ8"/>
    <mergeCell ref="BL7:BL8"/>
    <mergeCell ref="BP5:BT5"/>
    <mergeCell ref="BX7:BX8"/>
    <mergeCell ref="AJ5:AN5"/>
    <mergeCell ref="A5:A8"/>
    <mergeCell ref="AM6:AN6"/>
    <mergeCell ref="AE6:AF6"/>
    <mergeCell ref="CH7:CH8"/>
    <mergeCell ref="AK7:AK8"/>
    <mergeCell ref="AC7:AC8"/>
    <mergeCell ref="AE7:AE8"/>
  </mergeCells>
  <conditionalFormatting sqref="A9:LH13">
    <cfRule type="expression" priority="1" dxfId="0" stopIfTrue="1">
      <formula>$B9=""</formula>
    </cfRule>
  </conditionalFormatting>
  <conditionalFormatting sqref="D9:CM13">
    <cfRule type="expression" priority="2" dxfId="13">
      <formula>D9="ผอม"</formula>
    </cfRule>
    <cfRule type="expression" priority="3" dxfId="14">
      <formula>D9="ค่อนข้างผอม"</formula>
    </cfRule>
    <cfRule type="expression" priority="4" dxfId="15">
      <formula>D9="สมส่วน"</formula>
    </cfRule>
    <cfRule type="expression" priority="5" dxfId="14">
      <formula>D9="ท้วม"</formula>
    </cfRule>
    <cfRule type="expression" priority="6" dxfId="16">
      <formula>D9="เริ่มอ้วน"</formula>
    </cfRule>
    <cfRule type="expression" priority="7" dxfId="13">
      <formula>D9="อ้วน"</formula>
    </cfRule>
    <cfRule type="expression" priority="8" dxfId="13">
      <formula>D9="เตี้ย"</formula>
    </cfRule>
    <cfRule type="expression" priority="9" dxfId="14">
      <formula>D9="ค่อนข้างเตี้ย"</formula>
    </cfRule>
    <cfRule type="expression" priority="10" dxfId="15">
      <formula>D9="ตามเกณฑ์"</formula>
    </cfRule>
    <cfRule type="expression" priority="11" dxfId="17">
      <formula>D9="ค่อนข้างสูง"</formula>
    </cfRule>
    <cfRule type="expression" priority="12" dxfId="17">
      <formula>D9="สูง"</formula>
    </cfRule>
    <cfRule type="expression" priority="13" dxfId="18">
      <formula>D9="ตรวจสอบข้อมูล"</formula>
    </cfRule>
  </conditionalFormatting>
  <dataValidations count="33">
    <dataValidation sqref="F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D9:D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E9:E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N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L9:L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M9:M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V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T9:T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U9:U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AD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AB9:AB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AC9:AC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AL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AJ9:AJ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AK9:AK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AT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AR9:AR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AS9:AS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BB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AZ9:AZ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BA9:BA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BJ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BH9:BH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BI9:BI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BR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BP9:BP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BQ9:BQ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BZ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BX9:BX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BY9:BY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  <dataValidation sqref="CH6" showDropDown="0" showInputMessage="0" showErrorMessage="0" allowBlank="1" errorTitle="ตรวจสอบข้อมูล" error="ใส่วันที่ 1 - 31" type="whole" operator="between">
      <formula1>1</formula1>
      <formula2>31</formula2>
    </dataValidation>
    <dataValidation sqref="CF9:CF13" showDropDown="0" showInputMessage="0" showErrorMessage="0" allowBlank="1" errorTitle="ตรวจสอบข้อมูล" error="น้ำหนัก 5 - 60 กก." type="decimal" operator="between">
      <formula1>5</formula1>
      <formula2>60</formula2>
    </dataValidation>
    <dataValidation sqref="CG9:CG13" showDropDown="0" showInputMessage="0" showErrorMessage="0" allowBlank="1" errorTitle="ตรวจสอบข้อมูล" error="ส่วนสูง 50 - 160 ซม." type="decimal" operator="between">
      <formula1>50</formula1>
      <formula2>160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tabColor rgb="00F493B5"/>
    <outlinePr summaryBelow="1" summaryRight="1"/>
    <pageSetUpPr fitToPage="1"/>
  </sheetPr>
  <dimension ref="A1:HK23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1" customWidth="1" min="4" max="4"/>
    <col width="3.1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6.5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  <col width="3.1" customWidth="1" min="62" max="62"/>
    <col width="3.1" customWidth="1" min="63" max="63"/>
    <col width="3.1" customWidth="1" min="64" max="64"/>
    <col width="3.1" customWidth="1" min="65" max="65"/>
    <col width="3.1" customWidth="1" min="66" max="66"/>
    <col width="3.1" customWidth="1" min="67" max="67"/>
    <col width="3.1" customWidth="1" min="68" max="68"/>
    <col width="3.1" customWidth="1" min="69" max="69"/>
    <col width="3.1" customWidth="1" min="70" max="70"/>
    <col width="3.1" customWidth="1" min="71" max="71"/>
    <col width="3.1" customWidth="1" min="72" max="72"/>
    <col width="3.1" customWidth="1" min="73" max="73"/>
    <col width="3.1" customWidth="1" min="74" max="74"/>
    <col width="6.5" customWidth="1" min="75" max="75"/>
    <col width="3.1" customWidth="1" min="76" max="76"/>
    <col width="3.1" customWidth="1" min="77" max="77"/>
    <col width="3.1" customWidth="1" min="78" max="78"/>
    <col width="3.1" customWidth="1" min="79" max="79"/>
    <col width="3.1" customWidth="1" min="80" max="80"/>
    <col width="3.1" customWidth="1" min="81" max="81"/>
    <col width="3.1" customWidth="1" min="82" max="82"/>
    <col width="3.1" customWidth="1" min="83" max="83"/>
    <col width="3.1" customWidth="1" min="84" max="84"/>
    <col width="3.1" customWidth="1" min="85" max="85"/>
    <col width="3.1" customWidth="1" min="86" max="86"/>
    <col width="3.1" customWidth="1" min="87" max="87"/>
    <col width="3.1" customWidth="1" min="88" max="88"/>
    <col width="3.1" customWidth="1" min="89" max="89"/>
    <col width="3.1" customWidth="1" min="90" max="90"/>
    <col width="3.1" customWidth="1" min="91" max="91"/>
    <col width="3.1" customWidth="1" min="92" max="92"/>
    <col width="3.1" customWidth="1" min="93" max="93"/>
    <col width="3.1" customWidth="1" min="94" max="94"/>
    <col width="3.1" customWidth="1" min="95" max="95"/>
    <col width="3.1" customWidth="1" min="96" max="96"/>
    <col width="3.1" customWidth="1" min="97" max="97"/>
    <col width="3.1" customWidth="1" min="98" max="98"/>
    <col width="3.1" customWidth="1" min="99" max="99"/>
    <col width="3.1" customWidth="1" min="100" max="100"/>
    <col width="3.1" customWidth="1" min="101" max="101"/>
    <col width="3.1" customWidth="1" min="102" max="102"/>
    <col width="3.1" customWidth="1" min="103" max="103"/>
    <col width="3.1" customWidth="1" min="104" max="104"/>
    <col width="3.1" customWidth="1" min="105" max="105"/>
    <col width="3.1" customWidth="1" min="106" max="106"/>
    <col width="3.1" customWidth="1" min="107" max="107"/>
    <col width="3.1" customWidth="1" min="108" max="108"/>
    <col width="3.1" customWidth="1" min="109" max="109"/>
    <col width="3.1" customWidth="1" min="110" max="110"/>
    <col width="6.5" customWidth="1" min="111" max="111"/>
    <col width="3.1" customWidth="1" min="112" max="112"/>
    <col width="3.1" customWidth="1" min="113" max="113"/>
    <col width="3.1" customWidth="1" min="114" max="114"/>
    <col width="3.1" customWidth="1" min="115" max="115"/>
    <col width="3.1" customWidth="1" min="116" max="116"/>
    <col width="3.1" customWidth="1" min="117" max="117"/>
    <col width="3.1" customWidth="1" min="118" max="118"/>
    <col width="3.1" customWidth="1" min="119" max="119"/>
    <col width="3.1" customWidth="1" min="120" max="120"/>
    <col width="3.1" customWidth="1" min="121" max="121"/>
    <col width="3.1" customWidth="1" min="122" max="122"/>
    <col width="3.1" customWidth="1" min="123" max="123"/>
    <col width="3.1" customWidth="1" min="124" max="124"/>
    <col width="3.1" customWidth="1" min="125" max="125"/>
    <col width="3.1" customWidth="1" min="126" max="126"/>
    <col width="3.1" customWidth="1" min="127" max="127"/>
    <col width="3.1" customWidth="1" min="128" max="128"/>
    <col width="3.1" customWidth="1" min="129" max="129"/>
    <col width="3.1" customWidth="1" min="130" max="130"/>
    <col width="3.1" customWidth="1" min="131" max="131"/>
    <col width="3.1" customWidth="1" min="132" max="132"/>
    <col width="3.1" customWidth="1" min="133" max="133"/>
    <col width="3.1" customWidth="1" min="134" max="134"/>
    <col width="3.1" customWidth="1" min="135" max="135"/>
    <col width="3.1" customWidth="1" min="136" max="136"/>
    <col width="3.1" customWidth="1" min="137" max="137"/>
    <col width="3.1" customWidth="1" min="138" max="138"/>
    <col width="3.1" customWidth="1" min="139" max="139"/>
    <col width="3.1" customWidth="1" min="140" max="140"/>
    <col width="3.1" customWidth="1" min="141" max="141"/>
    <col width="3.1" customWidth="1" min="142" max="142"/>
    <col width="3.1" customWidth="1" min="143" max="143"/>
    <col width="3.1" customWidth="1" min="144" max="144"/>
    <col width="3.1" customWidth="1" min="145" max="145"/>
    <col width="3.1" customWidth="1" min="146" max="146"/>
    <col width="6.5" customWidth="1" min="147" max="147"/>
    <col width="3.1" customWidth="1" min="148" max="148"/>
    <col width="3.1" customWidth="1" min="149" max="149"/>
    <col width="3.1" customWidth="1" min="150" max="150"/>
    <col width="3.1" customWidth="1" min="151" max="151"/>
    <col width="3.1" customWidth="1" min="152" max="152"/>
    <col width="3.1" customWidth="1" min="153" max="153"/>
    <col width="3.1" customWidth="1" min="154" max="154"/>
    <col width="3.1" customWidth="1" min="155" max="155"/>
    <col width="3.1" customWidth="1" min="156" max="156"/>
    <col width="3.1" customWidth="1" min="157" max="157"/>
    <col width="3.1" customWidth="1" min="158" max="158"/>
    <col width="3.1" customWidth="1" min="159" max="159"/>
    <col width="3.1" customWidth="1" min="160" max="160"/>
    <col width="3.1" customWidth="1" min="161" max="161"/>
    <col width="3.1" customWidth="1" min="162" max="162"/>
    <col width="3.1" customWidth="1" min="163" max="163"/>
    <col width="3.1" customWidth="1" min="164" max="164"/>
    <col width="3.1" customWidth="1" min="165" max="165"/>
    <col width="3.1" customWidth="1" min="166" max="166"/>
    <col width="3.1" customWidth="1" min="167" max="167"/>
    <col width="3.1" customWidth="1" min="168" max="168"/>
    <col width="3.1" customWidth="1" min="169" max="169"/>
    <col width="3.1" customWidth="1" min="170" max="170"/>
    <col width="3.1" customWidth="1" min="171" max="171"/>
    <col width="3.1" customWidth="1" min="172" max="172"/>
    <col width="3.1" customWidth="1" min="173" max="173"/>
    <col width="3.1" customWidth="1" min="174" max="174"/>
    <col width="3.1" customWidth="1" min="175" max="175"/>
    <col width="3.1" customWidth="1" min="176" max="176"/>
    <col width="3.1" customWidth="1" min="177" max="177"/>
    <col width="3.1" customWidth="1" min="178" max="178"/>
    <col width="3.1" customWidth="1" min="179" max="179"/>
    <col width="3.1" customWidth="1" min="180" max="180"/>
    <col width="3.1" customWidth="1" min="181" max="181"/>
    <col width="3.1" customWidth="1" min="182" max="182"/>
    <col width="6.5" customWidth="1" min="183" max="183"/>
    <col width="3.1" customWidth="1" min="184" max="184"/>
    <col width="3.1" customWidth="1" min="185" max="185"/>
    <col width="3.1" customWidth="1" min="186" max="186"/>
    <col width="3.1" customWidth="1" min="187" max="187"/>
    <col width="3.1" customWidth="1" min="188" max="188"/>
    <col width="3.1" customWidth="1" min="189" max="189"/>
    <col width="3.1" customWidth="1" min="190" max="190"/>
    <col width="3.1" customWidth="1" min="191" max="191"/>
    <col width="3.1" customWidth="1" min="192" max="192"/>
    <col width="3.1" customWidth="1" min="193" max="193"/>
    <col width="3.1" customWidth="1" min="194" max="194"/>
    <col width="3.1" customWidth="1" min="195" max="195"/>
    <col width="3.1" customWidth="1" min="196" max="196"/>
    <col width="3.1" customWidth="1" min="197" max="197"/>
    <col width="3.1" customWidth="1" min="198" max="198"/>
    <col width="3.1" customWidth="1" min="199" max="199"/>
    <col width="3.1" customWidth="1" min="200" max="200"/>
    <col width="3.1" customWidth="1" min="201" max="201"/>
    <col width="3.1" customWidth="1" min="202" max="202"/>
    <col width="3.1" customWidth="1" min="203" max="203"/>
    <col width="3.1" customWidth="1" min="204" max="204"/>
    <col width="3.1" customWidth="1" min="205" max="205"/>
    <col width="3.1" customWidth="1" min="206" max="206"/>
    <col width="3.1" customWidth="1" min="207" max="207"/>
    <col width="3.1" customWidth="1" min="208" max="208"/>
    <col width="3.1" customWidth="1" min="209" max="209"/>
    <col width="3.1" customWidth="1" min="210" max="210"/>
    <col width="3.1" customWidth="1" min="211" max="211"/>
    <col width="3.1" customWidth="1" min="212" max="212"/>
    <col width="3.1" customWidth="1" min="213" max="213"/>
    <col width="3.1" customWidth="1" min="214" max="214"/>
    <col width="3.1" customWidth="1" min="215" max="215"/>
    <col width="3.1" customWidth="1" min="216" max="216"/>
    <col width="3.1" customWidth="1" min="217" max="217"/>
    <col width="3.1" customWidth="1" min="218" max="218"/>
    <col width="6.5" customWidth="1" min="219" max="219"/>
  </cols>
  <sheetData>
    <row r="1" ht="48" customHeight="1">
      <c r="A1" s="99" t="inlineStr">
        <is>
          <t>🏠</t>
        </is>
      </c>
      <c r="B1" s="100" t="n"/>
      <c r="C1" s="100" t="n"/>
      <c r="D1" s="100" t="n"/>
      <c r="E1" s="100" t="n"/>
      <c r="F1" s="100" t="n"/>
      <c r="G1" s="100" t="n"/>
      <c r="H1" s="100" t="n"/>
      <c r="I1" s="100" t="n"/>
      <c r="J1" s="100" t="n"/>
      <c r="K1" s="100" t="n"/>
      <c r="L1" s="100" t="n"/>
      <c r="M1" s="100" t="n"/>
      <c r="N1" s="100" t="n"/>
      <c r="O1" s="100" t="n"/>
      <c r="P1" s="100" t="n"/>
      <c r="Q1" s="100" t="n"/>
      <c r="R1" s="100" t="n"/>
      <c r="S1" s="100" t="n"/>
      <c r="T1" s="100" t="n"/>
      <c r="U1" s="100" t="n"/>
      <c r="V1" s="100" t="n"/>
      <c r="W1" s="100" t="n"/>
      <c r="X1" s="100" t="n"/>
      <c r="Y1" s="100" t="n"/>
      <c r="Z1" s="100" t="n"/>
      <c r="AA1" s="100" t="n"/>
      <c r="AB1" s="100" t="n"/>
      <c r="AC1" s="100" t="n"/>
      <c r="AD1" s="100" t="n"/>
      <c r="AE1" s="100" t="n"/>
      <c r="AF1" s="100" t="n"/>
      <c r="AG1" s="100" t="n"/>
      <c r="AH1" s="100" t="n"/>
      <c r="AI1" s="100" t="n"/>
      <c r="AJ1" s="100" t="n"/>
      <c r="AK1" s="100" t="n"/>
      <c r="AL1" s="100" t="n"/>
      <c r="AM1" s="100" t="n"/>
      <c r="AN1" s="100" t="n"/>
      <c r="AO1" s="100" t="n"/>
      <c r="AP1" s="100" t="n"/>
      <c r="AQ1" s="100" t="n"/>
      <c r="AR1" s="100" t="n"/>
      <c r="AS1" s="100" t="n"/>
      <c r="AT1" s="100" t="n"/>
      <c r="AU1" s="100" t="n"/>
      <c r="AV1" s="100" t="n"/>
      <c r="AW1" s="100" t="n"/>
      <c r="AX1" s="100" t="n"/>
      <c r="AY1" s="100" t="n"/>
      <c r="AZ1" s="100" t="n"/>
      <c r="BA1" s="100" t="n"/>
      <c r="BB1" s="100" t="n"/>
      <c r="BC1" s="100" t="n"/>
      <c r="BD1" s="100" t="n"/>
      <c r="BE1" s="100" t="n"/>
      <c r="BF1" s="100" t="n"/>
      <c r="BG1" s="100" t="n"/>
      <c r="BH1" s="100" t="n"/>
      <c r="BI1" s="100" t="n"/>
      <c r="BJ1" s="100" t="n"/>
      <c r="BK1" s="100" t="n"/>
      <c r="BL1" s="100" t="n"/>
      <c r="BM1" s="100" t="n"/>
      <c r="BN1" s="100" t="n"/>
      <c r="BO1" s="100" t="n"/>
      <c r="BP1" s="100" t="n"/>
      <c r="BQ1" s="100" t="n"/>
      <c r="BR1" s="100" t="n"/>
      <c r="BS1" s="100" t="n"/>
      <c r="BT1" s="100" t="n"/>
      <c r="BU1" s="100" t="n"/>
      <c r="BV1" s="100" t="n"/>
      <c r="BW1" s="100" t="n"/>
      <c r="BX1" s="100" t="n"/>
      <c r="BY1" s="100" t="n"/>
      <c r="BZ1" s="100" t="n"/>
      <c r="CA1" s="100" t="n"/>
      <c r="CB1" s="100" t="n"/>
      <c r="CC1" s="100" t="n"/>
      <c r="CD1" s="100" t="n"/>
      <c r="CE1" s="100" t="n"/>
      <c r="CF1" s="100" t="n"/>
      <c r="CG1" s="100" t="n"/>
      <c r="CH1" s="100" t="n"/>
      <c r="CI1" s="100" t="n"/>
      <c r="CJ1" s="100" t="n"/>
      <c r="CK1" s="100" t="n"/>
      <c r="CL1" s="100" t="n"/>
      <c r="CM1" s="100" t="n"/>
      <c r="CN1" s="100" t="n"/>
      <c r="CO1" s="100" t="n"/>
      <c r="CP1" s="100" t="n"/>
      <c r="CQ1" s="100" t="n"/>
      <c r="CR1" s="100" t="n"/>
      <c r="CS1" s="100" t="n"/>
      <c r="CT1" s="100" t="n"/>
      <c r="CU1" s="100" t="n"/>
      <c r="CV1" s="100" t="n"/>
      <c r="CW1" s="100" t="n"/>
      <c r="CX1" s="100" t="n"/>
      <c r="CY1" s="100" t="n"/>
      <c r="CZ1" s="100" t="n"/>
      <c r="DA1" s="100" t="n"/>
      <c r="DB1" s="100" t="n"/>
      <c r="DC1" s="100" t="n"/>
      <c r="DD1" s="100" t="n"/>
      <c r="DE1" s="100" t="n"/>
      <c r="DF1" s="100" t="n"/>
      <c r="DG1" s="100" t="n"/>
      <c r="DH1" s="100" t="n"/>
      <c r="DI1" s="100" t="n"/>
      <c r="DJ1" s="100" t="n"/>
      <c r="DK1" s="100" t="n"/>
      <c r="DL1" s="100" t="n"/>
      <c r="DM1" s="100" t="n"/>
      <c r="DN1" s="100" t="n"/>
      <c r="DO1" s="100" t="n"/>
      <c r="DP1" s="100" t="n"/>
      <c r="DQ1" s="100" t="n"/>
      <c r="DR1" s="100" t="n"/>
      <c r="DS1" s="100" t="n"/>
      <c r="DT1" s="100" t="n"/>
      <c r="DU1" s="100" t="n"/>
      <c r="DV1" s="100" t="n"/>
      <c r="DW1" s="100" t="n"/>
      <c r="DX1" s="100" t="n"/>
      <c r="DY1" s="100" t="n"/>
      <c r="DZ1" s="100" t="n"/>
      <c r="EA1" s="100" t="n"/>
      <c r="EB1" s="100" t="n"/>
      <c r="EC1" s="100" t="n"/>
      <c r="ED1" s="100" t="n"/>
      <c r="EE1" s="100" t="n"/>
      <c r="EF1" s="100" t="n"/>
      <c r="EG1" s="100" t="n"/>
      <c r="EH1" s="100" t="n"/>
      <c r="EI1" s="100" t="n"/>
      <c r="EJ1" s="100" t="n"/>
      <c r="EK1" s="100" t="n"/>
      <c r="EL1" s="100" t="n"/>
      <c r="EM1" s="100" t="n"/>
      <c r="EN1" s="100" t="n"/>
      <c r="EO1" s="100" t="n"/>
      <c r="EP1" s="100" t="n"/>
      <c r="EQ1" s="100" t="n"/>
      <c r="ER1" s="100" t="n"/>
      <c r="ES1" s="100" t="n"/>
      <c r="ET1" s="100" t="n"/>
      <c r="EU1" s="100" t="n"/>
      <c r="EV1" s="100" t="n"/>
      <c r="EW1" s="100" t="n"/>
      <c r="EX1" s="100" t="n"/>
      <c r="EY1" s="100" t="n"/>
      <c r="EZ1" s="100" t="n"/>
      <c r="FA1" s="100" t="n"/>
      <c r="FB1" s="100" t="n"/>
      <c r="FC1" s="100" t="n"/>
      <c r="FD1" s="100" t="n"/>
      <c r="FE1" s="100" t="n"/>
      <c r="FF1" s="100" t="n"/>
      <c r="FG1" s="100" t="n"/>
      <c r="FH1" s="100" t="n"/>
      <c r="FI1" s="100" t="n"/>
      <c r="FJ1" s="100" t="n"/>
      <c r="FK1" s="100" t="n"/>
      <c r="FL1" s="100" t="n"/>
      <c r="FM1" s="100" t="n"/>
      <c r="FN1" s="100" t="n"/>
      <c r="FO1" s="100" t="n"/>
      <c r="FP1" s="100" t="n"/>
      <c r="FQ1" s="100" t="n"/>
      <c r="FR1" s="100" t="n"/>
      <c r="FS1" s="100" t="n"/>
      <c r="FT1" s="100" t="n"/>
      <c r="FU1" s="100" t="n"/>
      <c r="FV1" s="100" t="n"/>
      <c r="FW1" s="100" t="n"/>
      <c r="FX1" s="100" t="n"/>
      <c r="FY1" s="100" t="n"/>
      <c r="FZ1" s="100" t="n"/>
      <c r="GA1" s="100" t="n"/>
      <c r="GB1" s="100" t="n"/>
      <c r="GC1" s="100" t="n"/>
      <c r="GD1" s="100" t="n"/>
      <c r="GE1" s="100" t="n"/>
      <c r="GF1" s="100" t="n"/>
      <c r="GG1" s="100" t="n"/>
      <c r="GH1" s="100" t="n"/>
      <c r="GI1" s="100" t="n"/>
      <c r="GJ1" s="100" t="n"/>
      <c r="GK1" s="100" t="n"/>
      <c r="GL1" s="100" t="n"/>
      <c r="GM1" s="100" t="n"/>
      <c r="GN1" s="100" t="n"/>
      <c r="GO1" s="100" t="n"/>
      <c r="GP1" s="100" t="n"/>
      <c r="GQ1" s="100" t="n"/>
      <c r="GR1" s="100" t="n"/>
      <c r="GS1" s="100" t="n"/>
      <c r="GT1" s="100" t="n"/>
      <c r="GU1" s="100" t="n"/>
      <c r="GV1" s="100" t="n"/>
      <c r="GW1" s="100" t="n"/>
      <c r="GX1" s="100" t="n"/>
      <c r="GY1" s="100" t="n"/>
      <c r="GZ1" s="100" t="n"/>
      <c r="HA1" s="100" t="n"/>
      <c r="HB1" s="100" t="n"/>
      <c r="HC1" s="100" t="n"/>
      <c r="HD1" s="100" t="n"/>
      <c r="HE1" s="100" t="n"/>
      <c r="HF1" s="100" t="n"/>
      <c r="HG1" s="100" t="n"/>
      <c r="HH1" s="100" t="n"/>
      <c r="HI1" s="100" t="n"/>
      <c r="HJ1" s="100" t="n"/>
      <c r="HK1" s="100" t="n"/>
    </row>
    <row r="2" ht="20" customHeight="1">
      <c r="A2" s="101" t="inlineStr">
        <is>
          <t>หน้าหลัก</t>
        </is>
      </c>
      <c r="B2" s="10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03" t="n"/>
      <c r="D2" s="103" t="n"/>
      <c r="E2" s="103" t="n"/>
      <c r="F2" s="103" t="n"/>
      <c r="G2" s="103" t="n"/>
      <c r="H2" s="103" t="n"/>
      <c r="I2" s="103" t="n"/>
      <c r="J2" s="103" t="n"/>
      <c r="K2" s="103" t="n"/>
      <c r="L2" s="103" t="n"/>
      <c r="M2" s="103" t="n"/>
      <c r="N2" s="103" t="n"/>
      <c r="O2" s="103" t="n"/>
      <c r="P2" s="103" t="n"/>
      <c r="Q2" s="103" t="n"/>
      <c r="R2" s="103" t="n"/>
      <c r="S2" s="103" t="n"/>
      <c r="T2" s="103" t="n"/>
      <c r="U2" s="103" t="n"/>
      <c r="V2" s="103" t="n"/>
      <c r="W2" s="103" t="n"/>
      <c r="X2" s="103" t="n"/>
      <c r="Y2" s="103" t="n"/>
      <c r="Z2" s="103" t="n"/>
      <c r="AA2" s="103" t="n"/>
      <c r="AB2" s="103" t="n"/>
      <c r="AC2" s="103" t="n"/>
      <c r="AD2" s="103" t="n"/>
      <c r="AE2" s="103" t="n"/>
      <c r="AF2" s="103" t="n"/>
      <c r="AG2" s="103" t="n"/>
      <c r="AH2" s="103" t="n"/>
      <c r="AI2" s="103" t="n"/>
      <c r="AJ2" s="103" t="n"/>
      <c r="AK2" s="103" t="n"/>
      <c r="AL2" s="103" t="n"/>
      <c r="AM2" s="103" t="n"/>
      <c r="AN2" s="103" t="n"/>
      <c r="AO2" s="103" t="n"/>
      <c r="AP2" s="103" t="n"/>
      <c r="AQ2" s="103" t="n"/>
      <c r="AR2" s="103" t="n"/>
      <c r="AS2" s="103" t="n"/>
      <c r="AT2" s="103" t="n"/>
      <c r="AU2" s="103" t="n"/>
      <c r="AV2" s="103" t="n"/>
      <c r="AW2" s="103" t="n"/>
      <c r="AX2" s="103" t="n"/>
      <c r="AY2" s="103" t="n"/>
      <c r="AZ2" s="103" t="n"/>
      <c r="BA2" s="103" t="n"/>
      <c r="BB2" s="103" t="n"/>
      <c r="BC2" s="103" t="n"/>
      <c r="BD2" s="103" t="n"/>
      <c r="BE2" s="103" t="n"/>
      <c r="BF2" s="103" t="n"/>
      <c r="BG2" s="103" t="n"/>
      <c r="BH2" s="103" t="n"/>
      <c r="BI2" s="103" t="n"/>
      <c r="BJ2" s="103" t="n"/>
      <c r="BK2" s="103" t="n"/>
      <c r="BL2" s="103" t="n"/>
      <c r="BM2" s="103" t="n"/>
      <c r="BN2" s="103" t="n"/>
      <c r="BO2" s="103" t="n"/>
      <c r="BP2" s="103" t="n"/>
      <c r="BQ2" s="103" t="n"/>
      <c r="BR2" s="103" t="n"/>
      <c r="BS2" s="103" t="n"/>
      <c r="BT2" s="103" t="n"/>
      <c r="BU2" s="103" t="n"/>
      <c r="BV2" s="103" t="n"/>
      <c r="BW2" s="103" t="n"/>
      <c r="BX2" s="103" t="n"/>
      <c r="BY2" s="103" t="n"/>
      <c r="BZ2" s="103" t="n"/>
      <c r="CA2" s="103" t="n"/>
      <c r="CB2" s="103" t="n"/>
      <c r="CC2" s="103" t="n"/>
      <c r="CD2" s="103" t="n"/>
      <c r="CE2" s="103" t="n"/>
      <c r="CF2" s="103" t="n"/>
      <c r="CG2" s="103" t="n"/>
      <c r="CH2" s="103" t="n"/>
      <c r="CI2" s="103" t="n"/>
      <c r="CJ2" s="103" t="n"/>
      <c r="CK2" s="103" t="n"/>
      <c r="CL2" s="103" t="n"/>
      <c r="CM2" s="103" t="n"/>
      <c r="CN2" s="103" t="n"/>
      <c r="CO2" s="103" t="n"/>
      <c r="CP2" s="103" t="n"/>
      <c r="CQ2" s="103" t="n"/>
      <c r="CR2" s="103" t="n"/>
      <c r="CS2" s="103" t="n"/>
      <c r="CT2" s="103" t="n"/>
      <c r="CU2" s="103" t="n"/>
      <c r="CV2" s="103" t="n"/>
      <c r="CW2" s="103" t="n"/>
      <c r="CX2" s="103" t="n"/>
      <c r="CY2" s="103" t="n"/>
      <c r="CZ2" s="103" t="n"/>
      <c r="DA2" s="103" t="n"/>
      <c r="DB2" s="103" t="n"/>
      <c r="DC2" s="103" t="n"/>
      <c r="DD2" s="103" t="n"/>
      <c r="DE2" s="103" t="n"/>
      <c r="DF2" s="103" t="n"/>
      <c r="DG2" s="103" t="n"/>
      <c r="DH2" s="103" t="n"/>
      <c r="DI2" s="103" t="n"/>
      <c r="DJ2" s="103" t="n"/>
      <c r="DK2" s="103" t="n"/>
      <c r="DL2" s="103" t="n"/>
      <c r="DM2" s="103" t="n"/>
      <c r="DN2" s="103" t="n"/>
      <c r="DO2" s="103" t="n"/>
      <c r="DP2" s="103" t="n"/>
      <c r="DQ2" s="103" t="n"/>
      <c r="DR2" s="103" t="n"/>
      <c r="DS2" s="103" t="n"/>
      <c r="DT2" s="103" t="n"/>
      <c r="DU2" s="103" t="n"/>
      <c r="DV2" s="103" t="n"/>
      <c r="DW2" s="103" t="n"/>
      <c r="DX2" s="103" t="n"/>
      <c r="DY2" s="103" t="n"/>
      <c r="DZ2" s="103" t="n"/>
      <c r="EA2" s="103" t="n"/>
      <c r="EB2" s="103" t="n"/>
      <c r="EC2" s="103" t="n"/>
      <c r="ED2" s="103" t="n"/>
      <c r="EE2" s="103" t="n"/>
      <c r="EF2" s="103" t="n"/>
      <c r="EG2" s="103" t="n"/>
      <c r="EH2" s="103" t="n"/>
      <c r="EI2" s="103" t="n"/>
      <c r="EJ2" s="103" t="n"/>
      <c r="EK2" s="103" t="n"/>
      <c r="EL2" s="103" t="n"/>
      <c r="EM2" s="103" t="n"/>
      <c r="EN2" s="103" t="n"/>
      <c r="EO2" s="103" t="n"/>
      <c r="EP2" s="103" t="n"/>
      <c r="EQ2" s="103" t="n"/>
      <c r="ER2" s="103" t="n"/>
      <c r="ES2" s="103" t="n"/>
      <c r="ET2" s="103" t="n"/>
      <c r="EU2" s="103" t="n"/>
      <c r="EV2" s="103" t="n"/>
      <c r="EW2" s="103" t="n"/>
      <c r="EX2" s="103" t="n"/>
      <c r="EY2" s="103" t="n"/>
      <c r="EZ2" s="103" t="n"/>
      <c r="FA2" s="103" t="n"/>
      <c r="FB2" s="103" t="n"/>
      <c r="FC2" s="103" t="n"/>
      <c r="FD2" s="103" t="n"/>
      <c r="FE2" s="103" t="n"/>
      <c r="FF2" s="103" t="n"/>
      <c r="FG2" s="103" t="n"/>
      <c r="FH2" s="103" t="n"/>
      <c r="FI2" s="103" t="n"/>
      <c r="FJ2" s="103" t="n"/>
      <c r="FK2" s="103" t="n"/>
      <c r="FL2" s="103" t="n"/>
      <c r="FM2" s="103" t="n"/>
      <c r="FN2" s="103" t="n"/>
      <c r="FO2" s="103" t="n"/>
      <c r="FP2" s="103" t="n"/>
      <c r="FQ2" s="103" t="n"/>
      <c r="FR2" s="103" t="n"/>
      <c r="FS2" s="103" t="n"/>
      <c r="FT2" s="103" t="n"/>
      <c r="FU2" s="103" t="n"/>
      <c r="FV2" s="103" t="n"/>
      <c r="FW2" s="103" t="n"/>
      <c r="FX2" s="103" t="n"/>
      <c r="FY2" s="103" t="n"/>
      <c r="FZ2" s="103" t="n"/>
      <c r="GA2" s="103" t="n"/>
      <c r="GB2" s="103" t="n"/>
      <c r="GC2" s="103" t="n"/>
      <c r="GD2" s="103" t="n"/>
      <c r="GE2" s="103" t="n"/>
      <c r="GF2" s="103" t="n"/>
      <c r="GG2" s="103" t="n"/>
      <c r="GH2" s="103" t="n"/>
      <c r="GI2" s="103" t="n"/>
      <c r="GJ2" s="103" t="n"/>
      <c r="GK2" s="103" t="n"/>
      <c r="GL2" s="103" t="n"/>
      <c r="GM2" s="103" t="n"/>
      <c r="GN2" s="103" t="n"/>
      <c r="GO2" s="103" t="n"/>
      <c r="GP2" s="103" t="n"/>
      <c r="GQ2" s="103" t="n"/>
      <c r="GR2" s="103" t="n"/>
      <c r="GS2" s="103" t="n"/>
      <c r="GT2" s="103" t="n"/>
      <c r="GU2" s="103" t="n"/>
      <c r="GV2" s="103" t="n"/>
      <c r="GW2" s="103" t="n"/>
      <c r="GX2" s="103" t="n"/>
      <c r="GY2" s="103" t="n"/>
      <c r="GZ2" s="103" t="n"/>
      <c r="HA2" s="103" t="n"/>
      <c r="HB2" s="103" t="n"/>
      <c r="HC2" s="103" t="n"/>
      <c r="HD2" s="103" t="n"/>
      <c r="HE2" s="103" t="n"/>
      <c r="HF2" s="103" t="n"/>
      <c r="HG2" s="103" t="n"/>
      <c r="HH2" s="103" t="n"/>
      <c r="HI2" s="103" t="n"/>
      <c r="HJ2" s="103" t="n"/>
      <c r="HK2" s="103" t="n"/>
    </row>
    <row r="3">
      <c r="B3" s="421" t="inlineStr">
        <is>
          <t>ตรวจทุกวันจันทร์   ✓ = ปกติ     ✗ = ต้องแก้ไข   •   ตารางท้ายหน้าสรุปจำนวนครั้งที่ต้องแก้ไขแต่ละรายการ</t>
        </is>
      </c>
    </row>
    <row r="4" hidden="1">
      <c r="D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E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F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G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H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I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J4">
        <f>IF(AND(MONTH(((DATE('ข้อมูลโรงเรียน'!$C$12-543,5,1)+MOD(1-WEEKDAY(DATE('ข้อมูลโรงเรียน'!$C$12-543,5,1),2),7))+0))=5,((DATE('ข้อมูลโรงเรียน'!$C$12-543,5,1)+MOD(1-WEEKDAY(DATE('ข้อมูลโรงเรียน'!$C$12-543,5,1),2),7))+0)&lt;='ข้อมูลโรงเรียน'!$Z$16,((DATE('ข้อมูลโรงเรียน'!$C$12-543,5,1)+MOD(1-WEEKDAY(DATE('ข้อมูลโรงเรียน'!$C$12-543,5,1),2),7))+0)+4&gt;='ข้อมูลโรงเรียน'!$Z$15),((DATE('ข้อมูลโรงเรียน'!$C$12-543,5,1)+MOD(1-WEEKDAY(DATE('ข้อมูลโรงเรียน'!$C$12-543,5,1),2),7))+0),0)</f>
        <v/>
      </c>
      <c r="K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L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M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N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O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P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Q4">
        <f>IF(AND(MONTH(((DATE('ข้อมูลโรงเรียน'!$C$12-543,5,1)+MOD(1-WEEKDAY(DATE('ข้อมูลโรงเรียน'!$C$12-543,5,1),2),7))+7))=5,((DATE('ข้อมูลโรงเรียน'!$C$12-543,5,1)+MOD(1-WEEKDAY(DATE('ข้อมูลโรงเรียน'!$C$12-543,5,1),2),7))+7)&lt;='ข้อมูลโรงเรียน'!$Z$16,((DATE('ข้อมูลโรงเรียน'!$C$12-543,5,1)+MOD(1-WEEKDAY(DATE('ข้อมูลโรงเรียน'!$C$12-543,5,1),2),7))+7)+4&gt;='ข้อมูลโรงเรียน'!$Z$15),((DATE('ข้อมูลโรงเรียน'!$C$12-543,5,1)+MOD(1-WEEKDAY(DATE('ข้อมูลโรงเรียน'!$C$12-543,5,1),2),7))+7),0)</f>
        <v/>
      </c>
      <c r="R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S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T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U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V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W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X4">
        <f>IF(AND(MONTH(((DATE('ข้อมูลโรงเรียน'!$C$12-543,5,1)+MOD(1-WEEKDAY(DATE('ข้อมูลโรงเรียน'!$C$12-543,5,1),2),7))+14))=5,((DATE('ข้อมูลโรงเรียน'!$C$12-543,5,1)+MOD(1-WEEKDAY(DATE('ข้อมูลโรงเรียน'!$C$12-543,5,1),2),7))+14)&lt;='ข้อมูลโรงเรียน'!$Z$16,((DATE('ข้อมูลโรงเรียน'!$C$12-543,5,1)+MOD(1-WEEKDAY(DATE('ข้อมูลโรงเรียน'!$C$12-543,5,1),2),7))+14)+4&gt;='ข้อมูลโรงเรียน'!$Z$15),((DATE('ข้อมูลโรงเรียน'!$C$12-543,5,1)+MOD(1-WEEKDAY(DATE('ข้อมูลโรงเรียน'!$C$12-543,5,1),2),7))+14),0)</f>
        <v/>
      </c>
      <c r="Y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Z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A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B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C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D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E4">
        <f>IF(AND(MONTH(((DATE('ข้อมูลโรงเรียน'!$C$12-543,5,1)+MOD(1-WEEKDAY(DATE('ข้อมูลโรงเรียน'!$C$12-543,5,1),2),7))+21))=5,((DATE('ข้อมูลโรงเรียน'!$C$12-543,5,1)+MOD(1-WEEKDAY(DATE('ข้อมูลโรงเรียน'!$C$12-543,5,1),2),7))+21)&lt;='ข้อมูลโรงเรียน'!$Z$16,((DATE('ข้อมูลโรงเรียน'!$C$12-543,5,1)+MOD(1-WEEKDAY(DATE('ข้อมูลโรงเรียน'!$C$12-543,5,1),2),7))+21)+4&gt;='ข้อมูลโรงเรียน'!$Z$15),((DATE('ข้อมูลโรงเรียน'!$C$12-543,5,1)+MOD(1-WEEKDAY(DATE('ข้อมูลโรงเรียน'!$C$12-543,5,1),2),7))+21),0)</f>
        <v/>
      </c>
      <c r="AF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G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H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I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J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K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L4">
        <f>IF(AND(MONTH(((DATE('ข้อมูลโรงเรียน'!$C$12-543,5,1)+MOD(1-WEEKDAY(DATE('ข้อมูลโรงเรียน'!$C$12-543,5,1),2),7))+28))=5,((DATE('ข้อมูลโรงเรียน'!$C$12-543,5,1)+MOD(1-WEEKDAY(DATE('ข้อมูลโรงเรียน'!$C$12-543,5,1),2),7))+28)&lt;='ข้อมูลโรงเรียน'!$Z$16,((DATE('ข้อมูลโรงเรียน'!$C$12-543,5,1)+MOD(1-WEEKDAY(DATE('ข้อมูลโรงเรียน'!$C$12-543,5,1),2),7))+28)+4&gt;='ข้อมูลโรงเรียน'!$Z$15),((DATE('ข้อมูลโรงเรียน'!$C$12-543,5,1)+MOD(1-WEEKDAY(DATE('ข้อมูลโรงเรียน'!$C$12-543,5,1),2),7))+28),0)</f>
        <v/>
      </c>
      <c r="AM4" t="inlineStr">
        <is>
          <t>s</t>
        </is>
      </c>
      <c r="AN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O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P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Q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R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S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T4">
        <f>IF(AND(MONTH(((DATE('ข้อมูลโรงเรียน'!$C$12-543,6,1)+MOD(1-WEEKDAY(DATE('ข้อมูลโรงเรียน'!$C$12-543,6,1),2),7))+0))=6,((DATE('ข้อมูลโรงเรียน'!$C$12-543,6,1)+MOD(1-WEEKDAY(DATE('ข้อมูลโรงเรียน'!$C$12-543,6,1),2),7))+0)&lt;='ข้อมูลโรงเรียน'!$Z$16,((DATE('ข้อมูลโรงเรียน'!$C$12-543,6,1)+MOD(1-WEEKDAY(DATE('ข้อมูลโรงเรียน'!$C$12-543,6,1),2),7))+0)+4&gt;='ข้อมูลโรงเรียน'!$Z$15),((DATE('ข้อมูลโรงเรียน'!$C$12-543,6,1)+MOD(1-WEEKDAY(DATE('ข้อมูลโรงเรียน'!$C$12-543,6,1),2),7))+0),0)</f>
        <v/>
      </c>
      <c r="AU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AV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AW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AX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AY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AZ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BA4">
        <f>IF(AND(MONTH(((DATE('ข้อมูลโรงเรียน'!$C$12-543,6,1)+MOD(1-WEEKDAY(DATE('ข้อมูลโรงเรียน'!$C$12-543,6,1),2),7))+7))=6,((DATE('ข้อมูลโรงเรียน'!$C$12-543,6,1)+MOD(1-WEEKDAY(DATE('ข้อมูลโรงเรียน'!$C$12-543,6,1),2),7))+7)&lt;='ข้อมูลโรงเรียน'!$Z$16,((DATE('ข้อมูลโรงเรียน'!$C$12-543,6,1)+MOD(1-WEEKDAY(DATE('ข้อมูลโรงเรียน'!$C$12-543,6,1),2),7))+7)+4&gt;='ข้อมูลโรงเรียน'!$Z$15),((DATE('ข้อมูลโรงเรียน'!$C$12-543,6,1)+MOD(1-WEEKDAY(DATE('ข้อมูลโรงเรียน'!$C$12-543,6,1),2),7))+7),0)</f>
        <v/>
      </c>
      <c r="BB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C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D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E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F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G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H4">
        <f>IF(AND(MONTH(((DATE('ข้อมูลโรงเรียน'!$C$12-543,6,1)+MOD(1-WEEKDAY(DATE('ข้อมูลโรงเรียน'!$C$12-543,6,1),2),7))+14))=6,((DATE('ข้อมูลโรงเรียน'!$C$12-543,6,1)+MOD(1-WEEKDAY(DATE('ข้อมูลโรงเรียน'!$C$12-543,6,1),2),7))+14)&lt;='ข้อมูลโรงเรียน'!$Z$16,((DATE('ข้อมูลโรงเรียน'!$C$12-543,6,1)+MOD(1-WEEKDAY(DATE('ข้อมูลโรงเรียน'!$C$12-543,6,1),2),7))+14)+4&gt;='ข้อมูลโรงเรียน'!$Z$15),((DATE('ข้อมูลโรงเรียน'!$C$12-543,6,1)+MOD(1-WEEKDAY(DATE('ข้อมูลโรงเรียน'!$C$12-543,6,1),2),7))+14),0)</f>
        <v/>
      </c>
      <c r="BI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J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K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L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M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N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O4">
        <f>IF(AND(MONTH(((DATE('ข้อมูลโรงเรียน'!$C$12-543,6,1)+MOD(1-WEEKDAY(DATE('ข้อมูลโรงเรียน'!$C$12-543,6,1),2),7))+21))=6,((DATE('ข้อมูลโรงเรียน'!$C$12-543,6,1)+MOD(1-WEEKDAY(DATE('ข้อมูลโรงเรียน'!$C$12-543,6,1),2),7))+21)&lt;='ข้อมูลโรงเรียน'!$Z$16,((DATE('ข้อมูลโรงเรียน'!$C$12-543,6,1)+MOD(1-WEEKDAY(DATE('ข้อมูลโรงเรียน'!$C$12-543,6,1),2),7))+21)+4&gt;='ข้อมูลโรงเรียน'!$Z$15),((DATE('ข้อมูลโรงเรียน'!$C$12-543,6,1)+MOD(1-WEEKDAY(DATE('ข้อมูลโรงเรียน'!$C$12-543,6,1),2),7))+21),0)</f>
        <v/>
      </c>
      <c r="BP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Q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R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S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T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U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V4">
        <f>IF(AND(MONTH(((DATE('ข้อมูลโรงเรียน'!$C$12-543,6,1)+MOD(1-WEEKDAY(DATE('ข้อมูลโรงเรียน'!$C$12-543,6,1),2),7))+28))=6,((DATE('ข้อมูลโรงเรียน'!$C$12-543,6,1)+MOD(1-WEEKDAY(DATE('ข้อมูลโรงเรียน'!$C$12-543,6,1),2),7))+28)&lt;='ข้อมูลโรงเรียน'!$Z$16,((DATE('ข้อมูลโรงเรียน'!$C$12-543,6,1)+MOD(1-WEEKDAY(DATE('ข้อมูลโรงเรียน'!$C$12-543,6,1),2),7))+28)+4&gt;='ข้อมูลโรงเรียน'!$Z$15),((DATE('ข้อมูลโรงเรียน'!$C$12-543,6,1)+MOD(1-WEEKDAY(DATE('ข้อมูลโรงเรียน'!$C$12-543,6,1),2),7))+28),0)</f>
        <v/>
      </c>
      <c r="BW4" t="inlineStr">
        <is>
          <t>s</t>
        </is>
      </c>
      <c r="BX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BY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BZ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CA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CB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CC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CD4">
        <f>IF(AND(MONTH(((DATE('ข้อมูลโรงเรียน'!$C$12-543,7,1)+MOD(1-WEEKDAY(DATE('ข้อมูลโรงเรียน'!$C$12-543,7,1),2),7))+0))=7,((DATE('ข้อมูลโรงเรียน'!$C$12-543,7,1)+MOD(1-WEEKDAY(DATE('ข้อมูลโรงเรียน'!$C$12-543,7,1),2),7))+0)&lt;='ข้อมูลโรงเรียน'!$Z$16,((DATE('ข้อมูลโรงเรียน'!$C$12-543,7,1)+MOD(1-WEEKDAY(DATE('ข้อมูลโรงเรียน'!$C$12-543,7,1),2),7))+0)+4&gt;='ข้อมูลโรงเรียน'!$Z$15),((DATE('ข้อมูลโรงเรียน'!$C$12-543,7,1)+MOD(1-WEEKDAY(DATE('ข้อมูลโรงเรียน'!$C$12-543,7,1),2),7))+0),0)</f>
        <v/>
      </c>
      <c r="CE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F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G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H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I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J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K4">
        <f>IF(AND(MONTH(((DATE('ข้อมูลโรงเรียน'!$C$12-543,7,1)+MOD(1-WEEKDAY(DATE('ข้อมูลโรงเรียน'!$C$12-543,7,1),2),7))+7))=7,((DATE('ข้อมูลโรงเรียน'!$C$12-543,7,1)+MOD(1-WEEKDAY(DATE('ข้อมูลโรงเรียน'!$C$12-543,7,1),2),7))+7)&lt;='ข้อมูลโรงเรียน'!$Z$16,((DATE('ข้อมูลโรงเรียน'!$C$12-543,7,1)+MOD(1-WEEKDAY(DATE('ข้อมูลโรงเรียน'!$C$12-543,7,1),2),7))+7)+4&gt;='ข้อมูลโรงเรียน'!$Z$15),((DATE('ข้อมูลโรงเรียน'!$C$12-543,7,1)+MOD(1-WEEKDAY(DATE('ข้อมูลโรงเรียน'!$C$12-543,7,1),2),7))+7),0)</f>
        <v/>
      </c>
      <c r="CL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M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N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O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P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Q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R4">
        <f>IF(AND(MONTH(((DATE('ข้อมูลโรงเรียน'!$C$12-543,7,1)+MOD(1-WEEKDAY(DATE('ข้อมูลโรงเรียน'!$C$12-543,7,1),2),7))+14))=7,((DATE('ข้อมูลโรงเรียน'!$C$12-543,7,1)+MOD(1-WEEKDAY(DATE('ข้อมูลโรงเรียน'!$C$12-543,7,1),2),7))+14)&lt;='ข้อมูลโรงเรียน'!$Z$16,((DATE('ข้อมูลโรงเรียน'!$C$12-543,7,1)+MOD(1-WEEKDAY(DATE('ข้อมูลโรงเรียน'!$C$12-543,7,1),2),7))+14)+4&gt;='ข้อมูลโรงเรียน'!$Z$15),((DATE('ข้อมูลโรงเรียน'!$C$12-543,7,1)+MOD(1-WEEKDAY(DATE('ข้อมูลโรงเรียน'!$C$12-543,7,1),2),7))+14),0)</f>
        <v/>
      </c>
      <c r="CS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T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U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V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W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X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Y4">
        <f>IF(AND(MONTH(((DATE('ข้อมูลโรงเรียน'!$C$12-543,7,1)+MOD(1-WEEKDAY(DATE('ข้อมูลโรงเรียน'!$C$12-543,7,1),2),7))+21))=7,((DATE('ข้อมูลโรงเรียน'!$C$12-543,7,1)+MOD(1-WEEKDAY(DATE('ข้อมูลโรงเรียน'!$C$12-543,7,1),2),7))+21)&lt;='ข้อมูลโรงเรียน'!$Z$16,((DATE('ข้อมูลโรงเรียน'!$C$12-543,7,1)+MOD(1-WEEKDAY(DATE('ข้อมูลโรงเรียน'!$C$12-543,7,1),2),7))+21)+4&gt;='ข้อมูลโรงเรียน'!$Z$15),((DATE('ข้อมูลโรงเรียน'!$C$12-543,7,1)+MOD(1-WEEKDAY(DATE('ข้อมูลโรงเรียน'!$C$12-543,7,1),2),7))+21),0)</f>
        <v/>
      </c>
      <c r="CZ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A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B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C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D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E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F4">
        <f>IF(AND(MONTH(((DATE('ข้อมูลโรงเรียน'!$C$12-543,7,1)+MOD(1-WEEKDAY(DATE('ข้อมูลโรงเรียน'!$C$12-543,7,1),2),7))+28))=7,((DATE('ข้อมูลโรงเรียน'!$C$12-543,7,1)+MOD(1-WEEKDAY(DATE('ข้อมูลโรงเรียน'!$C$12-543,7,1),2),7))+28)&lt;='ข้อมูลโรงเรียน'!$Z$16,((DATE('ข้อมูลโรงเรียน'!$C$12-543,7,1)+MOD(1-WEEKDAY(DATE('ข้อมูลโรงเรียน'!$C$12-543,7,1),2),7))+28)+4&gt;='ข้อมูลโรงเรียน'!$Z$15),((DATE('ข้อมูลโรงเรียน'!$C$12-543,7,1)+MOD(1-WEEKDAY(DATE('ข้อมูลโรงเรียน'!$C$12-543,7,1),2),7))+28),0)</f>
        <v/>
      </c>
      <c r="DG4" t="inlineStr">
        <is>
          <t>s</t>
        </is>
      </c>
      <c r="DH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I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J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K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L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M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N4">
        <f>IF(AND(MONTH(((DATE('ข้อมูลโรงเรียน'!$C$12-543,8,1)+MOD(1-WEEKDAY(DATE('ข้อมูลโรงเรียน'!$C$12-543,8,1),2),7))+0))=8,((DATE('ข้อมูลโรงเรียน'!$C$12-543,8,1)+MOD(1-WEEKDAY(DATE('ข้อมูลโรงเรียน'!$C$12-543,8,1),2),7))+0)&lt;='ข้อมูลโรงเรียน'!$Z$16,((DATE('ข้อมูลโรงเรียน'!$C$12-543,8,1)+MOD(1-WEEKDAY(DATE('ข้อมูลโรงเรียน'!$C$12-543,8,1),2),7))+0)+4&gt;='ข้อมูลโรงเรียน'!$Z$15),((DATE('ข้อมูลโรงเรียน'!$C$12-543,8,1)+MOD(1-WEEKDAY(DATE('ข้อมูลโรงเรียน'!$C$12-543,8,1),2),7))+0),0)</f>
        <v/>
      </c>
      <c r="DO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P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Q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R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S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T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U4">
        <f>IF(AND(MONTH(((DATE('ข้อมูลโรงเรียน'!$C$12-543,8,1)+MOD(1-WEEKDAY(DATE('ข้อมูลโรงเรียน'!$C$12-543,8,1),2),7))+7))=8,((DATE('ข้อมูลโรงเรียน'!$C$12-543,8,1)+MOD(1-WEEKDAY(DATE('ข้อมูลโรงเรียน'!$C$12-543,8,1),2),7))+7)&lt;='ข้อมูลโรงเรียน'!$Z$16,((DATE('ข้อมูลโรงเรียน'!$C$12-543,8,1)+MOD(1-WEEKDAY(DATE('ข้อมูลโรงเรียน'!$C$12-543,8,1),2),7))+7)+4&gt;='ข้อมูลโรงเรียน'!$Z$15),((DATE('ข้อมูลโรงเรียน'!$C$12-543,8,1)+MOD(1-WEEKDAY(DATE('ข้อมูลโรงเรียน'!$C$12-543,8,1),2),7))+7),0)</f>
        <v/>
      </c>
      <c r="DV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DW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DX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DY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DZ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EA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EB4">
        <f>IF(AND(MONTH(((DATE('ข้อมูลโรงเรียน'!$C$12-543,8,1)+MOD(1-WEEKDAY(DATE('ข้อมูลโรงเรียน'!$C$12-543,8,1),2),7))+14))=8,((DATE('ข้อมูลโรงเรียน'!$C$12-543,8,1)+MOD(1-WEEKDAY(DATE('ข้อมูลโรงเรียน'!$C$12-543,8,1),2),7))+14)&lt;='ข้อมูลโรงเรียน'!$Z$16,((DATE('ข้อมูลโรงเรียน'!$C$12-543,8,1)+MOD(1-WEEKDAY(DATE('ข้อมูลโรงเรียน'!$C$12-543,8,1),2),7))+14)+4&gt;='ข้อมูลโรงเรียน'!$Z$15),((DATE('ข้อมูลโรงเรียน'!$C$12-543,8,1)+MOD(1-WEEKDAY(DATE('ข้อมูลโรงเรียน'!$C$12-543,8,1),2),7))+14),0)</f>
        <v/>
      </c>
      <c r="EC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D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E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F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G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H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I4">
        <f>IF(AND(MONTH(((DATE('ข้อมูลโรงเรียน'!$C$12-543,8,1)+MOD(1-WEEKDAY(DATE('ข้อมูลโรงเรียน'!$C$12-543,8,1),2),7))+21))=8,((DATE('ข้อมูลโรงเรียน'!$C$12-543,8,1)+MOD(1-WEEKDAY(DATE('ข้อมูลโรงเรียน'!$C$12-543,8,1),2),7))+21)&lt;='ข้อมูลโรงเรียน'!$Z$16,((DATE('ข้อมูลโรงเรียน'!$C$12-543,8,1)+MOD(1-WEEKDAY(DATE('ข้อมูลโรงเรียน'!$C$12-543,8,1),2),7))+21)+4&gt;='ข้อมูลโรงเรียน'!$Z$15),((DATE('ข้อมูลโรงเรียน'!$C$12-543,8,1)+MOD(1-WEEKDAY(DATE('ข้อมูลโรงเรียน'!$C$12-543,8,1),2),7))+21),0)</f>
        <v/>
      </c>
      <c r="EJ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K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L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M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N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O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P4">
        <f>IF(AND(MONTH(((DATE('ข้อมูลโรงเรียน'!$C$12-543,8,1)+MOD(1-WEEKDAY(DATE('ข้อมูลโรงเรียน'!$C$12-543,8,1),2),7))+28))=8,((DATE('ข้อมูลโรงเรียน'!$C$12-543,8,1)+MOD(1-WEEKDAY(DATE('ข้อมูลโรงเรียน'!$C$12-543,8,1),2),7))+28)&lt;='ข้อมูลโรงเรียน'!$Z$16,((DATE('ข้อมูลโรงเรียน'!$C$12-543,8,1)+MOD(1-WEEKDAY(DATE('ข้อมูลโรงเรียน'!$C$12-543,8,1),2),7))+28)+4&gt;='ข้อมูลโรงเรียน'!$Z$15),((DATE('ข้อมูลโรงเรียน'!$C$12-543,8,1)+MOD(1-WEEKDAY(DATE('ข้อมูลโรงเรียน'!$C$12-543,8,1),2),7))+28),0)</f>
        <v/>
      </c>
      <c r="EQ4" t="inlineStr">
        <is>
          <t>s</t>
        </is>
      </c>
      <c r="ER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S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T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U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V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W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X4">
        <f>IF(AND(MONTH(((DATE('ข้อมูลโรงเรียน'!$C$12-543,9,1)+MOD(1-WEEKDAY(DATE('ข้อมูลโรงเรียน'!$C$12-543,9,1),2),7))+0))=9,((DATE('ข้อมูลโรงเรียน'!$C$12-543,9,1)+MOD(1-WEEKDAY(DATE('ข้อมูลโรงเรียน'!$C$12-543,9,1),2),7))+0)&lt;='ข้อมูลโรงเรียน'!$Z$16,((DATE('ข้อมูลโรงเรียน'!$C$12-543,9,1)+MOD(1-WEEKDAY(DATE('ข้อมูลโรงเรียน'!$C$12-543,9,1),2),7))+0)+4&gt;='ข้อมูลโรงเรียน'!$Z$15),((DATE('ข้อมูลโรงเรียน'!$C$12-543,9,1)+MOD(1-WEEKDAY(DATE('ข้อมูลโรงเรียน'!$C$12-543,9,1),2),7))+0),0)</f>
        <v/>
      </c>
      <c r="EY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EZ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A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B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C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D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E4">
        <f>IF(AND(MONTH(((DATE('ข้อมูลโรงเรียน'!$C$12-543,9,1)+MOD(1-WEEKDAY(DATE('ข้อมูลโรงเรียน'!$C$12-543,9,1),2),7))+7))=9,((DATE('ข้อมูลโรงเรียน'!$C$12-543,9,1)+MOD(1-WEEKDAY(DATE('ข้อมูลโรงเรียน'!$C$12-543,9,1),2),7))+7)&lt;='ข้อมูลโรงเรียน'!$Z$16,((DATE('ข้อมูลโรงเรียน'!$C$12-543,9,1)+MOD(1-WEEKDAY(DATE('ข้อมูลโรงเรียน'!$C$12-543,9,1),2),7))+7)+4&gt;='ข้อมูลโรงเรียน'!$Z$15),((DATE('ข้อมูลโรงเรียน'!$C$12-543,9,1)+MOD(1-WEEKDAY(DATE('ข้อมูลโรงเรียน'!$C$12-543,9,1),2),7))+7),0)</f>
        <v/>
      </c>
      <c r="FF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G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H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I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J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K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L4">
        <f>IF(AND(MONTH(((DATE('ข้อมูลโรงเรียน'!$C$12-543,9,1)+MOD(1-WEEKDAY(DATE('ข้อมูลโรงเรียน'!$C$12-543,9,1),2),7))+14))=9,((DATE('ข้อมูลโรงเรียน'!$C$12-543,9,1)+MOD(1-WEEKDAY(DATE('ข้อมูลโรงเรียน'!$C$12-543,9,1),2),7))+14)&lt;='ข้อมูลโรงเรียน'!$Z$16,((DATE('ข้อมูลโรงเรียน'!$C$12-543,9,1)+MOD(1-WEEKDAY(DATE('ข้อมูลโรงเรียน'!$C$12-543,9,1),2),7))+14)+4&gt;='ข้อมูลโรงเรียน'!$Z$15),((DATE('ข้อมูลโรงเรียน'!$C$12-543,9,1)+MOD(1-WEEKDAY(DATE('ข้อมูลโรงเรียน'!$C$12-543,9,1),2),7))+14),0)</f>
        <v/>
      </c>
      <c r="FM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N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O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P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Q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R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S4">
        <f>IF(AND(MONTH(((DATE('ข้อมูลโรงเรียน'!$C$12-543,9,1)+MOD(1-WEEKDAY(DATE('ข้อมูลโรงเรียน'!$C$12-543,9,1),2),7))+21))=9,((DATE('ข้อมูลโรงเรียน'!$C$12-543,9,1)+MOD(1-WEEKDAY(DATE('ข้อมูลโรงเรียน'!$C$12-543,9,1),2),7))+21)&lt;='ข้อมูลโรงเรียน'!$Z$16,((DATE('ข้อมูลโรงเรียน'!$C$12-543,9,1)+MOD(1-WEEKDAY(DATE('ข้อมูลโรงเรียน'!$C$12-543,9,1),2),7))+21)+4&gt;='ข้อมูลโรงเรียน'!$Z$15),((DATE('ข้อมูลโรงเรียน'!$C$12-543,9,1)+MOD(1-WEEKDAY(DATE('ข้อมูลโรงเรียน'!$C$12-543,9,1),2),7))+21),0)</f>
        <v/>
      </c>
      <c r="FT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U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V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W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X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Y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FZ4">
        <f>IF(AND(MONTH(((DATE('ข้อมูลโรงเรียน'!$C$12-543,9,1)+MOD(1-WEEKDAY(DATE('ข้อมูลโรงเรียน'!$C$12-543,9,1),2),7))+28))=9,((DATE('ข้อมูลโรงเรียน'!$C$12-543,9,1)+MOD(1-WEEKDAY(DATE('ข้อมูลโรงเรียน'!$C$12-543,9,1),2),7))+28)&lt;='ข้อมูลโรงเรียน'!$Z$16,((DATE('ข้อมูลโรงเรียน'!$C$12-543,9,1)+MOD(1-WEEKDAY(DATE('ข้อมูลโรงเรียน'!$C$12-543,9,1),2),7))+28)+4&gt;='ข้อมูลโรงเรียน'!$Z$15),((DATE('ข้อมูลโรงเรียน'!$C$12-543,9,1)+MOD(1-WEEKDAY(DATE('ข้อมูลโรงเรียน'!$C$12-543,9,1),2),7))+28),0)</f>
        <v/>
      </c>
      <c r="GA4" t="inlineStr">
        <is>
          <t>s</t>
        </is>
      </c>
      <c r="GB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C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D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E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F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G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H4">
        <f>IF(AND(MONTH(((DATE('ข้อมูลโรงเรียน'!$C$12-543,10,1)+MOD(1-WEEKDAY(DATE('ข้อมูลโรงเรียน'!$C$12-543,10,1),2),7))+0))=10,((DATE('ข้อมูลโรงเรียน'!$C$12-543,10,1)+MOD(1-WEEKDAY(DATE('ข้อมูลโรงเรียน'!$C$12-543,10,1),2),7))+0)&lt;='ข้อมูลโรงเรียน'!$Z$16,((DATE('ข้อมูลโรงเรียน'!$C$12-543,10,1)+MOD(1-WEEKDAY(DATE('ข้อมูลโรงเรียน'!$C$12-543,10,1),2),7))+0)+4&gt;='ข้อมูลโรงเรียน'!$Z$15),((DATE('ข้อมูลโรงเรียน'!$C$12-543,10,1)+MOD(1-WEEKDAY(DATE('ข้อมูลโรงเรียน'!$C$12-543,10,1),2),7))+0),0)</f>
        <v/>
      </c>
      <c r="GI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J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K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L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M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N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O4">
        <f>IF(AND(MONTH(((DATE('ข้อมูลโรงเรียน'!$C$12-543,10,1)+MOD(1-WEEKDAY(DATE('ข้อมูลโรงเรียน'!$C$12-543,10,1),2),7))+7))=10,((DATE('ข้อมูลโรงเรียน'!$C$12-543,10,1)+MOD(1-WEEKDAY(DATE('ข้อมูลโรงเรียน'!$C$12-543,10,1),2),7))+7)&lt;='ข้อมูลโรงเรียน'!$Z$16,((DATE('ข้อมูลโรงเรียน'!$C$12-543,10,1)+MOD(1-WEEKDAY(DATE('ข้อมูลโรงเรียน'!$C$12-543,10,1),2),7))+7)+4&gt;='ข้อมูลโรงเรียน'!$Z$15),((DATE('ข้อมูลโรงเรียน'!$C$12-543,10,1)+MOD(1-WEEKDAY(DATE('ข้อมูลโรงเรียน'!$C$12-543,10,1),2),7))+7),0)</f>
        <v/>
      </c>
      <c r="GP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Q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R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S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T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U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V4">
        <f>IF(AND(MONTH(((DATE('ข้อมูลโรงเรียน'!$C$12-543,10,1)+MOD(1-WEEKDAY(DATE('ข้อมูลโรงเรียน'!$C$12-543,10,1),2),7))+14))=10,((DATE('ข้อมูลโรงเรียน'!$C$12-543,10,1)+MOD(1-WEEKDAY(DATE('ข้อมูลโรงเรียน'!$C$12-543,10,1),2),7))+14)&lt;='ข้อมูลโรงเรียน'!$Z$16,((DATE('ข้อมูลโรงเรียน'!$C$12-543,10,1)+MOD(1-WEEKDAY(DATE('ข้อมูลโรงเรียน'!$C$12-543,10,1),2),7))+14)+4&gt;='ข้อมูลโรงเรียน'!$Z$15),((DATE('ข้อมูลโรงเรียน'!$C$12-543,10,1)+MOD(1-WEEKDAY(DATE('ข้อมูลโรงเรียน'!$C$12-543,10,1),2),7))+14),0)</f>
        <v/>
      </c>
      <c r="GW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GX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GY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GZ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HA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HB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HC4">
        <f>IF(AND(MONTH(((DATE('ข้อมูลโรงเรียน'!$C$12-543,10,1)+MOD(1-WEEKDAY(DATE('ข้อมูลโรงเรียน'!$C$12-543,10,1),2),7))+21))=10,((DATE('ข้อมูลโรงเรียน'!$C$12-543,10,1)+MOD(1-WEEKDAY(DATE('ข้อมูลโรงเรียน'!$C$12-543,10,1),2),7))+21)&lt;='ข้อมูลโรงเรียน'!$Z$16,((DATE('ข้อมูลโรงเรียน'!$C$12-543,10,1)+MOD(1-WEEKDAY(DATE('ข้อมูลโรงเรียน'!$C$12-543,10,1),2),7))+21)+4&gt;='ข้อมูลโรงเรียน'!$Z$15),((DATE('ข้อมูลโรงเรียน'!$C$12-543,10,1)+MOD(1-WEEKDAY(DATE('ข้อมูลโรงเรียน'!$C$12-543,10,1),2),7))+21),0)</f>
        <v/>
      </c>
      <c r="HD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E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F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G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H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I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J4">
        <f>IF(AND(MONTH(((DATE('ข้อมูลโรงเรียน'!$C$12-543,10,1)+MOD(1-WEEKDAY(DATE('ข้อมูลโรงเรียน'!$C$12-543,10,1),2),7))+28))=10,((DATE('ข้อมูลโรงเรียน'!$C$12-543,10,1)+MOD(1-WEEKDAY(DATE('ข้อมูลโรงเรียน'!$C$12-543,10,1),2),7))+28)&lt;='ข้อมูลโรงเรียน'!$Z$16,((DATE('ข้อมูลโรงเรียน'!$C$12-543,10,1)+MOD(1-WEEKDAY(DATE('ข้อมูลโรงเรียน'!$C$12-543,10,1),2),7))+28)+4&gt;='ข้อมูลโรงเรียน'!$Z$15),((DATE('ข้อมูลโรงเรียน'!$C$12-543,10,1)+MOD(1-WEEKDAY(DATE('ข้อมูลโรงเรียน'!$C$12-543,10,1),2),7))+28),0)</f>
        <v/>
      </c>
      <c r="HK4" t="inlineStr">
        <is>
          <t>s</t>
        </is>
      </c>
    </row>
    <row r="5" ht="22" customHeight="1">
      <c r="A5" s="302" t="inlineStr">
        <is>
          <t>เลขที่</t>
        </is>
      </c>
      <c r="B5" s="302" t="inlineStr">
        <is>
          <t>ชื่อ - สกุล</t>
        </is>
      </c>
      <c r="C5" s="303" t="inlineStr">
        <is>
          <t>ต้องแก้ไข
ทั้งภาค
(ครั้ง)</t>
        </is>
      </c>
      <c r="D5" s="422">
        <f>"เดือนพฤษภาคม  พ.ศ. "&amp;('ข้อมูลโรงเรียน'!$C$12-543+543)</f>
        <v/>
      </c>
      <c r="AM5" s="423" t="inlineStr">
        <is>
          <t>สรุป พ.ค.</t>
        </is>
      </c>
      <c r="AN5" s="422">
        <f>"เดือนมิถุนายน  พ.ศ. "&amp;('ข้อมูลโรงเรียน'!$C$12-543+543)</f>
        <v/>
      </c>
      <c r="BW5" s="423" t="inlineStr">
        <is>
          <t>สรุป มิ.ย.</t>
        </is>
      </c>
      <c r="BX5" s="422">
        <f>"เดือนกรกฎาคม  พ.ศ. "&amp;('ข้อมูลโรงเรียน'!$C$12-543+543)</f>
        <v/>
      </c>
      <c r="DG5" s="423" t="inlineStr">
        <is>
          <t>สรุป ก.ค.</t>
        </is>
      </c>
      <c r="DH5" s="422">
        <f>"เดือนสิงหาคม  พ.ศ. "&amp;('ข้อมูลโรงเรียน'!$C$12-543+543)</f>
        <v/>
      </c>
      <c r="EQ5" s="423" t="inlineStr">
        <is>
          <t>สรุป ส.ค.</t>
        </is>
      </c>
      <c r="ER5" s="422">
        <f>"เดือนกันยายน  พ.ศ. "&amp;('ข้อมูลโรงเรียน'!$C$12-543+543)</f>
        <v/>
      </c>
      <c r="GA5" s="423" t="inlineStr">
        <is>
          <t>สรุป ก.ย.</t>
        </is>
      </c>
      <c r="GB5" s="422">
        <f>"เดือนตุลาคม  พ.ศ. "&amp;('ข้อมูลโรงเรียน'!$C$12-543+543)</f>
        <v/>
      </c>
      <c r="HK5" s="423" t="inlineStr">
        <is>
          <t>สรุป ต.ค.</t>
        </is>
      </c>
    </row>
    <row r="6">
      <c r="D6" s="424">
        <f>IF(D4=0,"","สัปดาห์ที่ 1")</f>
        <v/>
      </c>
      <c r="K6" s="425">
        <f>IF(K4=0,"","สัปดาห์ที่ 2")</f>
        <v/>
      </c>
      <c r="R6" s="425">
        <f>IF(R4=0,"","สัปดาห์ที่ 3")</f>
        <v/>
      </c>
      <c r="Y6" s="425">
        <f>IF(Y4=0,"","สัปดาห์ที่ 4")</f>
        <v/>
      </c>
      <c r="AF6" s="425">
        <f>IF(AF4=0,"","สัปดาห์ที่ 5")</f>
        <v/>
      </c>
      <c r="AM6" s="426" t="inlineStr">
        <is>
          <t>ต้อง
แก้ไข
(ครั้ง)</t>
        </is>
      </c>
      <c r="AN6" s="424">
        <f>IF(AN4=0,"","สัปดาห์ที่ 1")</f>
        <v/>
      </c>
      <c r="AU6" s="425">
        <f>IF(AU4=0,"","สัปดาห์ที่ 2")</f>
        <v/>
      </c>
      <c r="BB6" s="425">
        <f>IF(BB4=0,"","สัปดาห์ที่ 3")</f>
        <v/>
      </c>
      <c r="BI6" s="425">
        <f>IF(BI4=0,"","สัปดาห์ที่ 4")</f>
        <v/>
      </c>
      <c r="BP6" s="425">
        <f>IF(BP4=0,"","สัปดาห์ที่ 5")</f>
        <v/>
      </c>
      <c r="BW6" s="426" t="inlineStr">
        <is>
          <t>ต้อง
แก้ไข
(ครั้ง)</t>
        </is>
      </c>
      <c r="BX6" s="424">
        <f>IF(BX4=0,"","สัปดาห์ที่ 1")</f>
        <v/>
      </c>
      <c r="CE6" s="425">
        <f>IF(CE4=0,"","สัปดาห์ที่ 2")</f>
        <v/>
      </c>
      <c r="CL6" s="425">
        <f>IF(CL4=0,"","สัปดาห์ที่ 3")</f>
        <v/>
      </c>
      <c r="CS6" s="425">
        <f>IF(CS4=0,"","สัปดาห์ที่ 4")</f>
        <v/>
      </c>
      <c r="CZ6" s="425">
        <f>IF(CZ4=0,"","สัปดาห์ที่ 5")</f>
        <v/>
      </c>
      <c r="DG6" s="426" t="inlineStr">
        <is>
          <t>ต้อง
แก้ไข
(ครั้ง)</t>
        </is>
      </c>
      <c r="DH6" s="424">
        <f>IF(DH4=0,"","สัปดาห์ที่ 1")</f>
        <v/>
      </c>
      <c r="DO6" s="425">
        <f>IF(DO4=0,"","สัปดาห์ที่ 2")</f>
        <v/>
      </c>
      <c r="DV6" s="425">
        <f>IF(DV4=0,"","สัปดาห์ที่ 3")</f>
        <v/>
      </c>
      <c r="EC6" s="425">
        <f>IF(EC4=0,"","สัปดาห์ที่ 4")</f>
        <v/>
      </c>
      <c r="EJ6" s="425">
        <f>IF(EJ4=0,"","สัปดาห์ที่ 5")</f>
        <v/>
      </c>
      <c r="EQ6" s="426" t="inlineStr">
        <is>
          <t>ต้อง
แก้ไข
(ครั้ง)</t>
        </is>
      </c>
      <c r="ER6" s="424">
        <f>IF(ER4=0,"","สัปดาห์ที่ 1")</f>
        <v/>
      </c>
      <c r="EY6" s="425">
        <f>IF(EY4=0,"","สัปดาห์ที่ 2")</f>
        <v/>
      </c>
      <c r="FF6" s="425">
        <f>IF(FF4=0,"","สัปดาห์ที่ 3")</f>
        <v/>
      </c>
      <c r="FM6" s="425">
        <f>IF(FM4=0,"","สัปดาห์ที่ 4")</f>
        <v/>
      </c>
      <c r="FT6" s="425">
        <f>IF(FT4=0,"","สัปดาห์ที่ 5")</f>
        <v/>
      </c>
      <c r="GA6" s="426" t="inlineStr">
        <is>
          <t>ต้อง
แก้ไข
(ครั้ง)</t>
        </is>
      </c>
      <c r="GB6" s="424">
        <f>IF(GB4=0,"","สัปดาห์ที่ 1")</f>
        <v/>
      </c>
      <c r="GI6" s="425">
        <f>IF(GI4=0,"","สัปดาห์ที่ 2")</f>
        <v/>
      </c>
      <c r="GP6" s="425">
        <f>IF(GP4=0,"","สัปดาห์ที่ 3")</f>
        <v/>
      </c>
      <c r="GW6" s="425">
        <f>IF(GW4=0,"","สัปดาห์ที่ 4")</f>
        <v/>
      </c>
      <c r="HD6" s="425">
        <f>IF(HD4=0,"","สัปดาห์ที่ 5")</f>
        <v/>
      </c>
      <c r="HK6" s="426" t="inlineStr">
        <is>
          <t>ต้อง
แก้ไข
(ครั้ง)</t>
        </is>
      </c>
    </row>
    <row r="7">
      <c r="D7" s="427">
        <f>IF(D4=0,"","จ. "&amp;DAY(D4)&amp;" "&amp;CHOOSE(MONTH(D4),"ม.ค.","ก.พ.","มี.ค.","เม.ย.","พ.ค.","มิ.ย.","ก.ค.","ส.ค.","ก.ย.","ต.ค.","พ.ย.","ธ.ค."))</f>
        <v/>
      </c>
      <c r="K7" s="428">
        <f>IF(K4=0,"","จ. "&amp;DAY(K4)&amp;" "&amp;CHOOSE(MONTH(K4),"ม.ค.","ก.พ.","มี.ค.","เม.ย.","พ.ค.","มิ.ย.","ก.ค.","ส.ค.","ก.ย.","ต.ค.","พ.ย.","ธ.ค."))</f>
        <v/>
      </c>
      <c r="R7" s="428">
        <f>IF(R4=0,"","จ. "&amp;DAY(R4)&amp;" "&amp;CHOOSE(MONTH(R4),"ม.ค.","ก.พ.","มี.ค.","เม.ย.","พ.ค.","มิ.ย.","ก.ค.","ส.ค.","ก.ย.","ต.ค.","พ.ย.","ธ.ค."))</f>
        <v/>
      </c>
      <c r="Y7" s="428">
        <f>IF(Y4=0,"","จ. "&amp;DAY(Y4)&amp;" "&amp;CHOOSE(MONTH(Y4),"ม.ค.","ก.พ.","มี.ค.","เม.ย.","พ.ค.","มิ.ย.","ก.ค.","ส.ค.","ก.ย.","ต.ค.","พ.ย.","ธ.ค."))</f>
        <v/>
      </c>
      <c r="AF7" s="428">
        <f>IF(AF4=0,"","จ. "&amp;DAY(AF4)&amp;" "&amp;CHOOSE(MONTH(AF4),"ม.ค.","ก.พ.","มี.ค.","เม.ย.","พ.ค.","มิ.ย.","ก.ค.","ส.ค.","ก.ย.","ต.ค.","พ.ย.","ธ.ค."))</f>
        <v/>
      </c>
      <c r="AN7" s="427">
        <f>IF(AN4=0,"","จ. "&amp;DAY(AN4)&amp;" "&amp;CHOOSE(MONTH(AN4),"ม.ค.","ก.พ.","มี.ค.","เม.ย.","พ.ค.","มิ.ย.","ก.ค.","ส.ค.","ก.ย.","ต.ค.","พ.ย.","ธ.ค."))</f>
        <v/>
      </c>
      <c r="AU7" s="428">
        <f>IF(AU4=0,"","จ. "&amp;DAY(AU4)&amp;" "&amp;CHOOSE(MONTH(AU4),"ม.ค.","ก.พ.","มี.ค.","เม.ย.","พ.ค.","มิ.ย.","ก.ค.","ส.ค.","ก.ย.","ต.ค.","พ.ย.","ธ.ค."))</f>
        <v/>
      </c>
      <c r="BB7" s="428">
        <f>IF(BB4=0,"","จ. "&amp;DAY(BB4)&amp;" "&amp;CHOOSE(MONTH(BB4),"ม.ค.","ก.พ.","มี.ค.","เม.ย.","พ.ค.","มิ.ย.","ก.ค.","ส.ค.","ก.ย.","ต.ค.","พ.ย.","ธ.ค."))</f>
        <v/>
      </c>
      <c r="BI7" s="428">
        <f>IF(BI4=0,"","จ. "&amp;DAY(BI4)&amp;" "&amp;CHOOSE(MONTH(BI4),"ม.ค.","ก.พ.","มี.ค.","เม.ย.","พ.ค.","มิ.ย.","ก.ค.","ส.ค.","ก.ย.","ต.ค.","พ.ย.","ธ.ค."))</f>
        <v/>
      </c>
      <c r="BP7" s="428">
        <f>IF(BP4=0,"","จ. "&amp;DAY(BP4)&amp;" "&amp;CHOOSE(MONTH(BP4),"ม.ค.","ก.พ.","มี.ค.","เม.ย.","พ.ค.","มิ.ย.","ก.ค.","ส.ค.","ก.ย.","ต.ค.","พ.ย.","ธ.ค."))</f>
        <v/>
      </c>
      <c r="BX7" s="427">
        <f>IF(BX4=0,"","จ. "&amp;DAY(BX4)&amp;" "&amp;CHOOSE(MONTH(BX4),"ม.ค.","ก.พ.","มี.ค.","เม.ย.","พ.ค.","มิ.ย.","ก.ค.","ส.ค.","ก.ย.","ต.ค.","พ.ย.","ธ.ค."))</f>
        <v/>
      </c>
      <c r="CE7" s="428">
        <f>IF(CE4=0,"","จ. "&amp;DAY(CE4)&amp;" "&amp;CHOOSE(MONTH(CE4),"ม.ค.","ก.พ.","มี.ค.","เม.ย.","พ.ค.","มิ.ย.","ก.ค.","ส.ค.","ก.ย.","ต.ค.","พ.ย.","ธ.ค."))</f>
        <v/>
      </c>
      <c r="CL7" s="428">
        <f>IF(CL4=0,"","จ. "&amp;DAY(CL4)&amp;" "&amp;CHOOSE(MONTH(CL4),"ม.ค.","ก.พ.","มี.ค.","เม.ย.","พ.ค.","มิ.ย.","ก.ค.","ส.ค.","ก.ย.","ต.ค.","พ.ย.","ธ.ค."))</f>
        <v/>
      </c>
      <c r="CS7" s="428">
        <f>IF(CS4=0,"","จ. "&amp;DAY(CS4)&amp;" "&amp;CHOOSE(MONTH(CS4),"ม.ค.","ก.พ.","มี.ค.","เม.ย.","พ.ค.","มิ.ย.","ก.ค.","ส.ค.","ก.ย.","ต.ค.","พ.ย.","ธ.ค."))</f>
        <v/>
      </c>
      <c r="CZ7" s="428">
        <f>IF(CZ4=0,"","จ. "&amp;DAY(CZ4)&amp;" "&amp;CHOOSE(MONTH(CZ4),"ม.ค.","ก.พ.","มี.ค.","เม.ย.","พ.ค.","มิ.ย.","ก.ค.","ส.ค.","ก.ย.","ต.ค.","พ.ย.","ธ.ค."))</f>
        <v/>
      </c>
      <c r="DH7" s="427">
        <f>IF(DH4=0,"","จ. "&amp;DAY(DH4)&amp;" "&amp;CHOOSE(MONTH(DH4),"ม.ค.","ก.พ.","มี.ค.","เม.ย.","พ.ค.","มิ.ย.","ก.ค.","ส.ค.","ก.ย.","ต.ค.","พ.ย.","ธ.ค."))</f>
        <v/>
      </c>
      <c r="DO7" s="428">
        <f>IF(DO4=0,"","จ. "&amp;DAY(DO4)&amp;" "&amp;CHOOSE(MONTH(DO4),"ม.ค.","ก.พ.","มี.ค.","เม.ย.","พ.ค.","มิ.ย.","ก.ค.","ส.ค.","ก.ย.","ต.ค.","พ.ย.","ธ.ค."))</f>
        <v/>
      </c>
      <c r="DV7" s="428">
        <f>IF(DV4=0,"","จ. "&amp;DAY(DV4)&amp;" "&amp;CHOOSE(MONTH(DV4),"ม.ค.","ก.พ.","มี.ค.","เม.ย.","พ.ค.","มิ.ย.","ก.ค.","ส.ค.","ก.ย.","ต.ค.","พ.ย.","ธ.ค."))</f>
        <v/>
      </c>
      <c r="EC7" s="428">
        <f>IF(EC4=0,"","จ. "&amp;DAY(EC4)&amp;" "&amp;CHOOSE(MONTH(EC4),"ม.ค.","ก.พ.","มี.ค.","เม.ย.","พ.ค.","มิ.ย.","ก.ค.","ส.ค.","ก.ย.","ต.ค.","พ.ย.","ธ.ค."))</f>
        <v/>
      </c>
      <c r="EJ7" s="428">
        <f>IF(EJ4=0,"","จ. "&amp;DAY(EJ4)&amp;" "&amp;CHOOSE(MONTH(EJ4),"ม.ค.","ก.พ.","มี.ค.","เม.ย.","พ.ค.","มิ.ย.","ก.ค.","ส.ค.","ก.ย.","ต.ค.","พ.ย.","ธ.ค."))</f>
        <v/>
      </c>
      <c r="ER7" s="427">
        <f>IF(ER4=0,"","จ. "&amp;DAY(ER4)&amp;" "&amp;CHOOSE(MONTH(ER4),"ม.ค.","ก.พ.","มี.ค.","เม.ย.","พ.ค.","มิ.ย.","ก.ค.","ส.ค.","ก.ย.","ต.ค.","พ.ย.","ธ.ค."))</f>
        <v/>
      </c>
      <c r="EY7" s="428">
        <f>IF(EY4=0,"","จ. "&amp;DAY(EY4)&amp;" "&amp;CHOOSE(MONTH(EY4),"ม.ค.","ก.พ.","มี.ค.","เม.ย.","พ.ค.","มิ.ย.","ก.ค.","ส.ค.","ก.ย.","ต.ค.","พ.ย.","ธ.ค."))</f>
        <v/>
      </c>
      <c r="FF7" s="428">
        <f>IF(FF4=0,"","จ. "&amp;DAY(FF4)&amp;" "&amp;CHOOSE(MONTH(FF4),"ม.ค.","ก.พ.","มี.ค.","เม.ย.","พ.ค.","มิ.ย.","ก.ค.","ส.ค.","ก.ย.","ต.ค.","พ.ย.","ธ.ค."))</f>
        <v/>
      </c>
      <c r="FM7" s="428">
        <f>IF(FM4=0,"","จ. "&amp;DAY(FM4)&amp;" "&amp;CHOOSE(MONTH(FM4),"ม.ค.","ก.พ.","มี.ค.","เม.ย.","พ.ค.","มิ.ย.","ก.ค.","ส.ค.","ก.ย.","ต.ค.","พ.ย.","ธ.ค."))</f>
        <v/>
      </c>
      <c r="FT7" s="428">
        <f>IF(FT4=0,"","จ. "&amp;DAY(FT4)&amp;" "&amp;CHOOSE(MONTH(FT4),"ม.ค.","ก.พ.","มี.ค.","เม.ย.","พ.ค.","มิ.ย.","ก.ค.","ส.ค.","ก.ย.","ต.ค.","พ.ย.","ธ.ค."))</f>
        <v/>
      </c>
      <c r="GB7" s="427">
        <f>IF(GB4=0,"","จ. "&amp;DAY(GB4)&amp;" "&amp;CHOOSE(MONTH(GB4),"ม.ค.","ก.พ.","มี.ค.","เม.ย.","พ.ค.","มิ.ย.","ก.ค.","ส.ค.","ก.ย.","ต.ค.","พ.ย.","ธ.ค."))</f>
        <v/>
      </c>
      <c r="GI7" s="428">
        <f>IF(GI4=0,"","จ. "&amp;DAY(GI4)&amp;" "&amp;CHOOSE(MONTH(GI4),"ม.ค.","ก.พ.","มี.ค.","เม.ย.","พ.ค.","มิ.ย.","ก.ค.","ส.ค.","ก.ย.","ต.ค.","พ.ย.","ธ.ค."))</f>
        <v/>
      </c>
      <c r="GP7" s="428">
        <f>IF(GP4=0,"","จ. "&amp;DAY(GP4)&amp;" "&amp;CHOOSE(MONTH(GP4),"ม.ค.","ก.พ.","มี.ค.","เม.ย.","พ.ค.","มิ.ย.","ก.ค.","ส.ค.","ก.ย.","ต.ค.","พ.ย.","ธ.ค."))</f>
        <v/>
      </c>
      <c r="GW7" s="428">
        <f>IF(GW4=0,"","จ. "&amp;DAY(GW4)&amp;" "&amp;CHOOSE(MONTH(GW4),"ม.ค.","ก.พ.","มี.ค.","เม.ย.","พ.ค.","มิ.ย.","ก.ค.","ส.ค.","ก.ย.","ต.ค.","พ.ย.","ธ.ค."))</f>
        <v/>
      </c>
      <c r="HD7" s="428">
        <f>IF(HD4=0,"","จ. "&amp;DAY(HD4)&amp;" "&amp;CHOOSE(MONTH(HD4),"ม.ค.","ก.พ.","มี.ค.","เม.ย.","พ.ค.","มิ.ย.","ก.ค.","ส.ค.","ก.ย.","ต.ค.","พ.ย.","ธ.ค."))</f>
        <v/>
      </c>
    </row>
    <row r="8" ht="44" customHeight="1">
      <c r="D8" s="429" t="inlineStr">
        <is>
          <t>ผม</t>
        </is>
      </c>
      <c r="E8" s="430" t="inlineStr">
        <is>
          <t>เล็บ</t>
        </is>
      </c>
      <c r="F8" s="430" t="inlineStr">
        <is>
          <t>ฟัน</t>
        </is>
      </c>
      <c r="G8" s="430" t="inlineStr">
        <is>
          <t>หู</t>
        </is>
      </c>
      <c r="H8" s="430" t="inlineStr">
        <is>
          <t>ผิวหนัง</t>
        </is>
      </c>
      <c r="I8" s="430" t="inlineStr">
        <is>
          <t>เสื้อผ้า</t>
        </is>
      </c>
      <c r="J8" s="430" t="inlineStr">
        <is>
          <t>ร่างกาย</t>
        </is>
      </c>
      <c r="K8" s="431" t="inlineStr">
        <is>
          <t>ผม</t>
        </is>
      </c>
      <c r="L8" s="430" t="inlineStr">
        <is>
          <t>เล็บ</t>
        </is>
      </c>
      <c r="M8" s="430" t="inlineStr">
        <is>
          <t>ฟัน</t>
        </is>
      </c>
      <c r="N8" s="430" t="inlineStr">
        <is>
          <t>หู</t>
        </is>
      </c>
      <c r="O8" s="430" t="inlineStr">
        <is>
          <t>ผิวหนัง</t>
        </is>
      </c>
      <c r="P8" s="430" t="inlineStr">
        <is>
          <t>เสื้อผ้า</t>
        </is>
      </c>
      <c r="Q8" s="430" t="inlineStr">
        <is>
          <t>ร่างกาย</t>
        </is>
      </c>
      <c r="R8" s="431" t="inlineStr">
        <is>
          <t>ผม</t>
        </is>
      </c>
      <c r="S8" s="430" t="inlineStr">
        <is>
          <t>เล็บ</t>
        </is>
      </c>
      <c r="T8" s="430" t="inlineStr">
        <is>
          <t>ฟัน</t>
        </is>
      </c>
      <c r="U8" s="430" t="inlineStr">
        <is>
          <t>หู</t>
        </is>
      </c>
      <c r="V8" s="430" t="inlineStr">
        <is>
          <t>ผิวหนัง</t>
        </is>
      </c>
      <c r="W8" s="430" t="inlineStr">
        <is>
          <t>เสื้อผ้า</t>
        </is>
      </c>
      <c r="X8" s="430" t="inlineStr">
        <is>
          <t>ร่างกาย</t>
        </is>
      </c>
      <c r="Y8" s="431" t="inlineStr">
        <is>
          <t>ผม</t>
        </is>
      </c>
      <c r="Z8" s="430" t="inlineStr">
        <is>
          <t>เล็บ</t>
        </is>
      </c>
      <c r="AA8" s="430" t="inlineStr">
        <is>
          <t>ฟัน</t>
        </is>
      </c>
      <c r="AB8" s="430" t="inlineStr">
        <is>
          <t>หู</t>
        </is>
      </c>
      <c r="AC8" s="430" t="inlineStr">
        <is>
          <t>ผิวหนัง</t>
        </is>
      </c>
      <c r="AD8" s="430" t="inlineStr">
        <is>
          <t>เสื้อผ้า</t>
        </is>
      </c>
      <c r="AE8" s="430" t="inlineStr">
        <is>
          <t>ร่างกาย</t>
        </is>
      </c>
      <c r="AF8" s="431" t="inlineStr">
        <is>
          <t>ผม</t>
        </is>
      </c>
      <c r="AG8" s="430" t="inlineStr">
        <is>
          <t>เล็บ</t>
        </is>
      </c>
      <c r="AH8" s="430" t="inlineStr">
        <is>
          <t>ฟัน</t>
        </is>
      </c>
      <c r="AI8" s="430" t="inlineStr">
        <is>
          <t>หู</t>
        </is>
      </c>
      <c r="AJ8" s="430" t="inlineStr">
        <is>
          <t>ผิวหนัง</t>
        </is>
      </c>
      <c r="AK8" s="430" t="inlineStr">
        <is>
          <t>เสื้อผ้า</t>
        </is>
      </c>
      <c r="AL8" s="430" t="inlineStr">
        <is>
          <t>ร่างกาย</t>
        </is>
      </c>
      <c r="AN8" s="429" t="inlineStr">
        <is>
          <t>ผม</t>
        </is>
      </c>
      <c r="AO8" s="430" t="inlineStr">
        <is>
          <t>เล็บ</t>
        </is>
      </c>
      <c r="AP8" s="430" t="inlineStr">
        <is>
          <t>ฟัน</t>
        </is>
      </c>
      <c r="AQ8" s="430" t="inlineStr">
        <is>
          <t>หู</t>
        </is>
      </c>
      <c r="AR8" s="430" t="inlineStr">
        <is>
          <t>ผิวหนัง</t>
        </is>
      </c>
      <c r="AS8" s="430" t="inlineStr">
        <is>
          <t>เสื้อผ้า</t>
        </is>
      </c>
      <c r="AT8" s="430" t="inlineStr">
        <is>
          <t>ร่างกาย</t>
        </is>
      </c>
      <c r="AU8" s="431" t="inlineStr">
        <is>
          <t>ผม</t>
        </is>
      </c>
      <c r="AV8" s="430" t="inlineStr">
        <is>
          <t>เล็บ</t>
        </is>
      </c>
      <c r="AW8" s="430" t="inlineStr">
        <is>
          <t>ฟัน</t>
        </is>
      </c>
      <c r="AX8" s="430" t="inlineStr">
        <is>
          <t>หู</t>
        </is>
      </c>
      <c r="AY8" s="430" t="inlineStr">
        <is>
          <t>ผิวหนัง</t>
        </is>
      </c>
      <c r="AZ8" s="430" t="inlineStr">
        <is>
          <t>เสื้อผ้า</t>
        </is>
      </c>
      <c r="BA8" s="430" t="inlineStr">
        <is>
          <t>ร่างกาย</t>
        </is>
      </c>
      <c r="BB8" s="431" t="inlineStr">
        <is>
          <t>ผม</t>
        </is>
      </c>
      <c r="BC8" s="430" t="inlineStr">
        <is>
          <t>เล็บ</t>
        </is>
      </c>
      <c r="BD8" s="430" t="inlineStr">
        <is>
          <t>ฟัน</t>
        </is>
      </c>
      <c r="BE8" s="430" t="inlineStr">
        <is>
          <t>หู</t>
        </is>
      </c>
      <c r="BF8" s="430" t="inlineStr">
        <is>
          <t>ผิวหนัง</t>
        </is>
      </c>
      <c r="BG8" s="430" t="inlineStr">
        <is>
          <t>เสื้อผ้า</t>
        </is>
      </c>
      <c r="BH8" s="430" t="inlineStr">
        <is>
          <t>ร่างกาย</t>
        </is>
      </c>
      <c r="BI8" s="431" t="inlineStr">
        <is>
          <t>ผม</t>
        </is>
      </c>
      <c r="BJ8" s="430" t="inlineStr">
        <is>
          <t>เล็บ</t>
        </is>
      </c>
      <c r="BK8" s="430" t="inlineStr">
        <is>
          <t>ฟัน</t>
        </is>
      </c>
      <c r="BL8" s="430" t="inlineStr">
        <is>
          <t>หู</t>
        </is>
      </c>
      <c r="BM8" s="430" t="inlineStr">
        <is>
          <t>ผิวหนัง</t>
        </is>
      </c>
      <c r="BN8" s="430" t="inlineStr">
        <is>
          <t>เสื้อผ้า</t>
        </is>
      </c>
      <c r="BO8" s="430" t="inlineStr">
        <is>
          <t>ร่างกาย</t>
        </is>
      </c>
      <c r="BP8" s="431" t="inlineStr">
        <is>
          <t>ผม</t>
        </is>
      </c>
      <c r="BQ8" s="430" t="inlineStr">
        <is>
          <t>เล็บ</t>
        </is>
      </c>
      <c r="BR8" s="430" t="inlineStr">
        <is>
          <t>ฟัน</t>
        </is>
      </c>
      <c r="BS8" s="430" t="inlineStr">
        <is>
          <t>หู</t>
        </is>
      </c>
      <c r="BT8" s="430" t="inlineStr">
        <is>
          <t>ผิวหนัง</t>
        </is>
      </c>
      <c r="BU8" s="430" t="inlineStr">
        <is>
          <t>เสื้อผ้า</t>
        </is>
      </c>
      <c r="BV8" s="430" t="inlineStr">
        <is>
          <t>ร่างกาย</t>
        </is>
      </c>
      <c r="BX8" s="429" t="inlineStr">
        <is>
          <t>ผม</t>
        </is>
      </c>
      <c r="BY8" s="430" t="inlineStr">
        <is>
          <t>เล็บ</t>
        </is>
      </c>
      <c r="BZ8" s="430" t="inlineStr">
        <is>
          <t>ฟัน</t>
        </is>
      </c>
      <c r="CA8" s="430" t="inlineStr">
        <is>
          <t>หู</t>
        </is>
      </c>
      <c r="CB8" s="430" t="inlineStr">
        <is>
          <t>ผิวหนัง</t>
        </is>
      </c>
      <c r="CC8" s="430" t="inlineStr">
        <is>
          <t>เสื้อผ้า</t>
        </is>
      </c>
      <c r="CD8" s="430" t="inlineStr">
        <is>
          <t>ร่างกาย</t>
        </is>
      </c>
      <c r="CE8" s="431" t="inlineStr">
        <is>
          <t>ผม</t>
        </is>
      </c>
      <c r="CF8" s="430" t="inlineStr">
        <is>
          <t>เล็บ</t>
        </is>
      </c>
      <c r="CG8" s="430" t="inlineStr">
        <is>
          <t>ฟัน</t>
        </is>
      </c>
      <c r="CH8" s="430" t="inlineStr">
        <is>
          <t>หู</t>
        </is>
      </c>
      <c r="CI8" s="430" t="inlineStr">
        <is>
          <t>ผิวหนัง</t>
        </is>
      </c>
      <c r="CJ8" s="430" t="inlineStr">
        <is>
          <t>เสื้อผ้า</t>
        </is>
      </c>
      <c r="CK8" s="430" t="inlineStr">
        <is>
          <t>ร่างกาย</t>
        </is>
      </c>
      <c r="CL8" s="431" t="inlineStr">
        <is>
          <t>ผม</t>
        </is>
      </c>
      <c r="CM8" s="430" t="inlineStr">
        <is>
          <t>เล็บ</t>
        </is>
      </c>
      <c r="CN8" s="430" t="inlineStr">
        <is>
          <t>ฟัน</t>
        </is>
      </c>
      <c r="CO8" s="430" t="inlineStr">
        <is>
          <t>หู</t>
        </is>
      </c>
      <c r="CP8" s="430" t="inlineStr">
        <is>
          <t>ผิวหนัง</t>
        </is>
      </c>
      <c r="CQ8" s="430" t="inlineStr">
        <is>
          <t>เสื้อผ้า</t>
        </is>
      </c>
      <c r="CR8" s="430" t="inlineStr">
        <is>
          <t>ร่างกาย</t>
        </is>
      </c>
      <c r="CS8" s="431" t="inlineStr">
        <is>
          <t>ผม</t>
        </is>
      </c>
      <c r="CT8" s="430" t="inlineStr">
        <is>
          <t>เล็บ</t>
        </is>
      </c>
      <c r="CU8" s="430" t="inlineStr">
        <is>
          <t>ฟัน</t>
        </is>
      </c>
      <c r="CV8" s="430" t="inlineStr">
        <is>
          <t>หู</t>
        </is>
      </c>
      <c r="CW8" s="430" t="inlineStr">
        <is>
          <t>ผิวหนัง</t>
        </is>
      </c>
      <c r="CX8" s="430" t="inlineStr">
        <is>
          <t>เสื้อผ้า</t>
        </is>
      </c>
      <c r="CY8" s="430" t="inlineStr">
        <is>
          <t>ร่างกาย</t>
        </is>
      </c>
      <c r="CZ8" s="431" t="inlineStr">
        <is>
          <t>ผม</t>
        </is>
      </c>
      <c r="DA8" s="430" t="inlineStr">
        <is>
          <t>เล็บ</t>
        </is>
      </c>
      <c r="DB8" s="430" t="inlineStr">
        <is>
          <t>ฟัน</t>
        </is>
      </c>
      <c r="DC8" s="430" t="inlineStr">
        <is>
          <t>หู</t>
        </is>
      </c>
      <c r="DD8" s="430" t="inlineStr">
        <is>
          <t>ผิวหนัง</t>
        </is>
      </c>
      <c r="DE8" s="430" t="inlineStr">
        <is>
          <t>เสื้อผ้า</t>
        </is>
      </c>
      <c r="DF8" s="430" t="inlineStr">
        <is>
          <t>ร่างกาย</t>
        </is>
      </c>
      <c r="DH8" s="429" t="inlineStr">
        <is>
          <t>ผม</t>
        </is>
      </c>
      <c r="DI8" s="430" t="inlineStr">
        <is>
          <t>เล็บ</t>
        </is>
      </c>
      <c r="DJ8" s="430" t="inlineStr">
        <is>
          <t>ฟัน</t>
        </is>
      </c>
      <c r="DK8" s="430" t="inlineStr">
        <is>
          <t>หู</t>
        </is>
      </c>
      <c r="DL8" s="430" t="inlineStr">
        <is>
          <t>ผิวหนัง</t>
        </is>
      </c>
      <c r="DM8" s="430" t="inlineStr">
        <is>
          <t>เสื้อผ้า</t>
        </is>
      </c>
      <c r="DN8" s="430" t="inlineStr">
        <is>
          <t>ร่างกาย</t>
        </is>
      </c>
      <c r="DO8" s="431" t="inlineStr">
        <is>
          <t>ผม</t>
        </is>
      </c>
      <c r="DP8" s="430" t="inlineStr">
        <is>
          <t>เล็บ</t>
        </is>
      </c>
      <c r="DQ8" s="430" t="inlineStr">
        <is>
          <t>ฟัน</t>
        </is>
      </c>
      <c r="DR8" s="430" t="inlineStr">
        <is>
          <t>หู</t>
        </is>
      </c>
      <c r="DS8" s="430" t="inlineStr">
        <is>
          <t>ผิวหนัง</t>
        </is>
      </c>
      <c r="DT8" s="430" t="inlineStr">
        <is>
          <t>เสื้อผ้า</t>
        </is>
      </c>
      <c r="DU8" s="430" t="inlineStr">
        <is>
          <t>ร่างกาย</t>
        </is>
      </c>
      <c r="DV8" s="431" t="inlineStr">
        <is>
          <t>ผม</t>
        </is>
      </c>
      <c r="DW8" s="430" t="inlineStr">
        <is>
          <t>เล็บ</t>
        </is>
      </c>
      <c r="DX8" s="430" t="inlineStr">
        <is>
          <t>ฟัน</t>
        </is>
      </c>
      <c r="DY8" s="430" t="inlineStr">
        <is>
          <t>หู</t>
        </is>
      </c>
      <c r="DZ8" s="430" t="inlineStr">
        <is>
          <t>ผิวหนัง</t>
        </is>
      </c>
      <c r="EA8" s="430" t="inlineStr">
        <is>
          <t>เสื้อผ้า</t>
        </is>
      </c>
      <c r="EB8" s="430" t="inlineStr">
        <is>
          <t>ร่างกาย</t>
        </is>
      </c>
      <c r="EC8" s="431" t="inlineStr">
        <is>
          <t>ผม</t>
        </is>
      </c>
      <c r="ED8" s="430" t="inlineStr">
        <is>
          <t>เล็บ</t>
        </is>
      </c>
      <c r="EE8" s="430" t="inlineStr">
        <is>
          <t>ฟัน</t>
        </is>
      </c>
      <c r="EF8" s="430" t="inlineStr">
        <is>
          <t>หู</t>
        </is>
      </c>
      <c r="EG8" s="430" t="inlineStr">
        <is>
          <t>ผิวหนัง</t>
        </is>
      </c>
      <c r="EH8" s="430" t="inlineStr">
        <is>
          <t>เสื้อผ้า</t>
        </is>
      </c>
      <c r="EI8" s="430" t="inlineStr">
        <is>
          <t>ร่างกาย</t>
        </is>
      </c>
      <c r="EJ8" s="431" t="inlineStr">
        <is>
          <t>ผม</t>
        </is>
      </c>
      <c r="EK8" s="430" t="inlineStr">
        <is>
          <t>เล็บ</t>
        </is>
      </c>
      <c r="EL8" s="430" t="inlineStr">
        <is>
          <t>ฟัน</t>
        </is>
      </c>
      <c r="EM8" s="430" t="inlineStr">
        <is>
          <t>หู</t>
        </is>
      </c>
      <c r="EN8" s="430" t="inlineStr">
        <is>
          <t>ผิวหนัง</t>
        </is>
      </c>
      <c r="EO8" s="430" t="inlineStr">
        <is>
          <t>เสื้อผ้า</t>
        </is>
      </c>
      <c r="EP8" s="430" t="inlineStr">
        <is>
          <t>ร่างกาย</t>
        </is>
      </c>
      <c r="ER8" s="429" t="inlineStr">
        <is>
          <t>ผม</t>
        </is>
      </c>
      <c r="ES8" s="430" t="inlineStr">
        <is>
          <t>เล็บ</t>
        </is>
      </c>
      <c r="ET8" s="430" t="inlineStr">
        <is>
          <t>ฟัน</t>
        </is>
      </c>
      <c r="EU8" s="430" t="inlineStr">
        <is>
          <t>หู</t>
        </is>
      </c>
      <c r="EV8" s="430" t="inlineStr">
        <is>
          <t>ผิวหนัง</t>
        </is>
      </c>
      <c r="EW8" s="430" t="inlineStr">
        <is>
          <t>เสื้อผ้า</t>
        </is>
      </c>
      <c r="EX8" s="430" t="inlineStr">
        <is>
          <t>ร่างกาย</t>
        </is>
      </c>
      <c r="EY8" s="431" t="inlineStr">
        <is>
          <t>ผม</t>
        </is>
      </c>
      <c r="EZ8" s="430" t="inlineStr">
        <is>
          <t>เล็บ</t>
        </is>
      </c>
      <c r="FA8" s="430" t="inlineStr">
        <is>
          <t>ฟัน</t>
        </is>
      </c>
      <c r="FB8" s="430" t="inlineStr">
        <is>
          <t>หู</t>
        </is>
      </c>
      <c r="FC8" s="430" t="inlineStr">
        <is>
          <t>ผิวหนัง</t>
        </is>
      </c>
      <c r="FD8" s="430" t="inlineStr">
        <is>
          <t>เสื้อผ้า</t>
        </is>
      </c>
      <c r="FE8" s="430" t="inlineStr">
        <is>
          <t>ร่างกาย</t>
        </is>
      </c>
      <c r="FF8" s="431" t="inlineStr">
        <is>
          <t>ผม</t>
        </is>
      </c>
      <c r="FG8" s="430" t="inlineStr">
        <is>
          <t>เล็บ</t>
        </is>
      </c>
      <c r="FH8" s="430" t="inlineStr">
        <is>
          <t>ฟัน</t>
        </is>
      </c>
      <c r="FI8" s="430" t="inlineStr">
        <is>
          <t>หู</t>
        </is>
      </c>
      <c r="FJ8" s="430" t="inlineStr">
        <is>
          <t>ผิวหนัง</t>
        </is>
      </c>
      <c r="FK8" s="430" t="inlineStr">
        <is>
          <t>เสื้อผ้า</t>
        </is>
      </c>
      <c r="FL8" s="430" t="inlineStr">
        <is>
          <t>ร่างกาย</t>
        </is>
      </c>
      <c r="FM8" s="431" t="inlineStr">
        <is>
          <t>ผม</t>
        </is>
      </c>
      <c r="FN8" s="430" t="inlineStr">
        <is>
          <t>เล็บ</t>
        </is>
      </c>
      <c r="FO8" s="430" t="inlineStr">
        <is>
          <t>ฟัน</t>
        </is>
      </c>
      <c r="FP8" s="430" t="inlineStr">
        <is>
          <t>หู</t>
        </is>
      </c>
      <c r="FQ8" s="430" t="inlineStr">
        <is>
          <t>ผิวหนัง</t>
        </is>
      </c>
      <c r="FR8" s="430" t="inlineStr">
        <is>
          <t>เสื้อผ้า</t>
        </is>
      </c>
      <c r="FS8" s="430" t="inlineStr">
        <is>
          <t>ร่างกาย</t>
        </is>
      </c>
      <c r="FT8" s="431" t="inlineStr">
        <is>
          <t>ผม</t>
        </is>
      </c>
      <c r="FU8" s="430" t="inlineStr">
        <is>
          <t>เล็บ</t>
        </is>
      </c>
      <c r="FV8" s="430" t="inlineStr">
        <is>
          <t>ฟัน</t>
        </is>
      </c>
      <c r="FW8" s="430" t="inlineStr">
        <is>
          <t>หู</t>
        </is>
      </c>
      <c r="FX8" s="430" t="inlineStr">
        <is>
          <t>ผิวหนัง</t>
        </is>
      </c>
      <c r="FY8" s="430" t="inlineStr">
        <is>
          <t>เสื้อผ้า</t>
        </is>
      </c>
      <c r="FZ8" s="430" t="inlineStr">
        <is>
          <t>ร่างกาย</t>
        </is>
      </c>
      <c r="GB8" s="429" t="inlineStr">
        <is>
          <t>ผม</t>
        </is>
      </c>
      <c r="GC8" s="430" t="inlineStr">
        <is>
          <t>เล็บ</t>
        </is>
      </c>
      <c r="GD8" s="430" t="inlineStr">
        <is>
          <t>ฟัน</t>
        </is>
      </c>
      <c r="GE8" s="430" t="inlineStr">
        <is>
          <t>หู</t>
        </is>
      </c>
      <c r="GF8" s="430" t="inlineStr">
        <is>
          <t>ผิวหนัง</t>
        </is>
      </c>
      <c r="GG8" s="430" t="inlineStr">
        <is>
          <t>เสื้อผ้า</t>
        </is>
      </c>
      <c r="GH8" s="430" t="inlineStr">
        <is>
          <t>ร่างกาย</t>
        </is>
      </c>
      <c r="GI8" s="431" t="inlineStr">
        <is>
          <t>ผม</t>
        </is>
      </c>
      <c r="GJ8" s="430" t="inlineStr">
        <is>
          <t>เล็บ</t>
        </is>
      </c>
      <c r="GK8" s="430" t="inlineStr">
        <is>
          <t>ฟัน</t>
        </is>
      </c>
      <c r="GL8" s="430" t="inlineStr">
        <is>
          <t>หู</t>
        </is>
      </c>
      <c r="GM8" s="430" t="inlineStr">
        <is>
          <t>ผิวหนัง</t>
        </is>
      </c>
      <c r="GN8" s="430" t="inlineStr">
        <is>
          <t>เสื้อผ้า</t>
        </is>
      </c>
      <c r="GO8" s="430" t="inlineStr">
        <is>
          <t>ร่างกาย</t>
        </is>
      </c>
      <c r="GP8" s="431" t="inlineStr">
        <is>
          <t>ผม</t>
        </is>
      </c>
      <c r="GQ8" s="430" t="inlineStr">
        <is>
          <t>เล็บ</t>
        </is>
      </c>
      <c r="GR8" s="430" t="inlineStr">
        <is>
          <t>ฟัน</t>
        </is>
      </c>
      <c r="GS8" s="430" t="inlineStr">
        <is>
          <t>หู</t>
        </is>
      </c>
      <c r="GT8" s="430" t="inlineStr">
        <is>
          <t>ผิวหนัง</t>
        </is>
      </c>
      <c r="GU8" s="430" t="inlineStr">
        <is>
          <t>เสื้อผ้า</t>
        </is>
      </c>
      <c r="GV8" s="430" t="inlineStr">
        <is>
          <t>ร่างกาย</t>
        </is>
      </c>
      <c r="GW8" s="431" t="inlineStr">
        <is>
          <t>ผม</t>
        </is>
      </c>
      <c r="GX8" s="430" t="inlineStr">
        <is>
          <t>เล็บ</t>
        </is>
      </c>
      <c r="GY8" s="430" t="inlineStr">
        <is>
          <t>ฟัน</t>
        </is>
      </c>
      <c r="GZ8" s="430" t="inlineStr">
        <is>
          <t>หู</t>
        </is>
      </c>
      <c r="HA8" s="430" t="inlineStr">
        <is>
          <t>ผิวหนัง</t>
        </is>
      </c>
      <c r="HB8" s="430" t="inlineStr">
        <is>
          <t>เสื้อผ้า</t>
        </is>
      </c>
      <c r="HC8" s="430" t="inlineStr">
        <is>
          <t>ร่างกาย</t>
        </is>
      </c>
      <c r="HD8" s="431" t="inlineStr">
        <is>
          <t>ผม</t>
        </is>
      </c>
      <c r="HE8" s="430" t="inlineStr">
        <is>
          <t>เล็บ</t>
        </is>
      </c>
      <c r="HF8" s="430" t="inlineStr">
        <is>
          <t>ฟัน</t>
        </is>
      </c>
      <c r="HG8" s="430" t="inlineStr">
        <is>
          <t>หู</t>
        </is>
      </c>
      <c r="HH8" s="430" t="inlineStr">
        <is>
          <t>ผิวหนัง</t>
        </is>
      </c>
      <c r="HI8" s="430" t="inlineStr">
        <is>
          <t>เสื้อผ้า</t>
        </is>
      </c>
      <c r="HJ8" s="430" t="inlineStr">
        <is>
          <t>ร่างกาย</t>
        </is>
      </c>
    </row>
    <row r="9">
      <c r="A9" s="218" t="n">
        <v>1</v>
      </c>
      <c r="B9" s="219">
        <f>'ข้อมูลนักเรียน'!T9</f>
        <v/>
      </c>
      <c r="C9" s="432">
        <f>IF(B9="","",COUNTIF(D9:HK9,"✗"))</f>
        <v/>
      </c>
      <c r="D9" s="433" t="n"/>
      <c r="E9" s="244" t="n"/>
      <c r="F9" s="244" t="n"/>
      <c r="G9" s="244" t="n"/>
      <c r="H9" s="244" t="n"/>
      <c r="I9" s="244" t="n"/>
      <c r="J9" s="244" t="n"/>
      <c r="K9" s="434" t="n"/>
      <c r="L9" s="244" t="n"/>
      <c r="M9" s="244" t="n"/>
      <c r="N9" s="244" t="n"/>
      <c r="O9" s="244" t="n"/>
      <c r="P9" s="244" t="n"/>
      <c r="Q9" s="244" t="n"/>
      <c r="R9" s="434" t="n"/>
      <c r="S9" s="244" t="n"/>
      <c r="T9" s="244" t="n"/>
      <c r="U9" s="244" t="n"/>
      <c r="V9" s="244" t="n"/>
      <c r="W9" s="244" t="n"/>
      <c r="X9" s="244" t="n"/>
      <c r="Y9" s="434" t="n"/>
      <c r="Z9" s="244" t="n"/>
      <c r="AA9" s="244" t="n"/>
      <c r="AB9" s="244" t="n"/>
      <c r="AC9" s="244" t="n"/>
      <c r="AD9" s="244" t="n"/>
      <c r="AE9" s="244" t="n"/>
      <c r="AF9" s="434" t="n"/>
      <c r="AG9" s="244" t="n"/>
      <c r="AH9" s="244" t="n"/>
      <c r="AI9" s="244" t="n"/>
      <c r="AJ9" s="244" t="n"/>
      <c r="AK9" s="244" t="n"/>
      <c r="AL9" s="244" t="n"/>
      <c r="AM9" s="435">
        <f>IF($B9="","",COUNTIF(D9:AL9,"✗"))</f>
        <v/>
      </c>
      <c r="AN9" s="433" t="n"/>
      <c r="AO9" s="244" t="n"/>
      <c r="AP9" s="244" t="n"/>
      <c r="AQ9" s="244" t="n"/>
      <c r="AR9" s="244" t="n"/>
      <c r="AS9" s="244" t="n"/>
      <c r="AT9" s="244" t="n"/>
      <c r="AU9" s="434" t="n"/>
      <c r="AV9" s="244" t="n"/>
      <c r="AW9" s="244" t="n"/>
      <c r="AX9" s="244" t="n"/>
      <c r="AY9" s="244" t="n"/>
      <c r="AZ9" s="244" t="n"/>
      <c r="BA9" s="244" t="n"/>
      <c r="BB9" s="434" t="n"/>
      <c r="BC9" s="244" t="n"/>
      <c r="BD9" s="244" t="n"/>
      <c r="BE9" s="244" t="n"/>
      <c r="BF9" s="244" t="n"/>
      <c r="BG9" s="244" t="n"/>
      <c r="BH9" s="244" t="n"/>
      <c r="BI9" s="434" t="n"/>
      <c r="BJ9" s="244" t="n"/>
      <c r="BK9" s="244" t="n"/>
      <c r="BL9" s="244" t="n"/>
      <c r="BM9" s="244" t="n"/>
      <c r="BN9" s="244" t="n"/>
      <c r="BO9" s="244" t="n"/>
      <c r="BP9" s="434" t="n"/>
      <c r="BQ9" s="244" t="n"/>
      <c r="BR9" s="244" t="n"/>
      <c r="BS9" s="244" t="n"/>
      <c r="BT9" s="244" t="n"/>
      <c r="BU9" s="244" t="n"/>
      <c r="BV9" s="244" t="n"/>
      <c r="BW9" s="435">
        <f>IF($B9="","",COUNTIF(AN9:BV9,"✗"))</f>
        <v/>
      </c>
      <c r="BX9" s="433" t="n"/>
      <c r="BY9" s="244" t="n"/>
      <c r="BZ9" s="244" t="n"/>
      <c r="CA9" s="244" t="n"/>
      <c r="CB9" s="244" t="n"/>
      <c r="CC9" s="244" t="n"/>
      <c r="CD9" s="244" t="n"/>
      <c r="CE9" s="434" t="n"/>
      <c r="CF9" s="244" t="n"/>
      <c r="CG9" s="244" t="n"/>
      <c r="CH9" s="244" t="n"/>
      <c r="CI9" s="244" t="n"/>
      <c r="CJ9" s="244" t="n"/>
      <c r="CK9" s="244" t="n"/>
      <c r="CL9" s="434" t="n"/>
      <c r="CM9" s="244" t="n"/>
      <c r="CN9" s="244" t="n"/>
      <c r="CO9" s="244" t="n"/>
      <c r="CP9" s="244" t="n"/>
      <c r="CQ9" s="244" t="n"/>
      <c r="CR9" s="244" t="n"/>
      <c r="CS9" s="434" t="n"/>
      <c r="CT9" s="244" t="n"/>
      <c r="CU9" s="244" t="n"/>
      <c r="CV9" s="244" t="n"/>
      <c r="CW9" s="244" t="n"/>
      <c r="CX9" s="244" t="n"/>
      <c r="CY9" s="244" t="n"/>
      <c r="CZ9" s="434" t="n"/>
      <c r="DA9" s="244" t="n"/>
      <c r="DB9" s="244" t="n"/>
      <c r="DC9" s="244" t="n"/>
      <c r="DD9" s="244" t="n"/>
      <c r="DE9" s="244" t="n"/>
      <c r="DF9" s="244" t="n"/>
      <c r="DG9" s="435">
        <f>IF($B9="","",COUNTIF(BX9:DF9,"✗"))</f>
        <v/>
      </c>
      <c r="DH9" s="433" t="n"/>
      <c r="DI9" s="244" t="n"/>
      <c r="DJ9" s="244" t="n"/>
      <c r="DK9" s="244" t="n"/>
      <c r="DL9" s="244" t="n"/>
      <c r="DM9" s="244" t="n"/>
      <c r="DN9" s="244" t="n"/>
      <c r="DO9" s="434" t="n"/>
      <c r="DP9" s="244" t="n"/>
      <c r="DQ9" s="244" t="n"/>
      <c r="DR9" s="244" t="n"/>
      <c r="DS9" s="244" t="n"/>
      <c r="DT9" s="244" t="n"/>
      <c r="DU9" s="244" t="n"/>
      <c r="DV9" s="434" t="n"/>
      <c r="DW9" s="244" t="n"/>
      <c r="DX9" s="244" t="n"/>
      <c r="DY9" s="244" t="n"/>
      <c r="DZ9" s="244" t="n"/>
      <c r="EA9" s="244" t="n"/>
      <c r="EB9" s="244" t="n"/>
      <c r="EC9" s="434" t="n"/>
      <c r="ED9" s="244" t="n"/>
      <c r="EE9" s="244" t="n"/>
      <c r="EF9" s="244" t="n"/>
      <c r="EG9" s="244" t="n"/>
      <c r="EH9" s="244" t="n"/>
      <c r="EI9" s="244" t="n"/>
      <c r="EJ9" s="434" t="n"/>
      <c r="EK9" s="244" t="n"/>
      <c r="EL9" s="244" t="n"/>
      <c r="EM9" s="244" t="n"/>
      <c r="EN9" s="244" t="n"/>
      <c r="EO9" s="244" t="n"/>
      <c r="EP9" s="244" t="n"/>
      <c r="EQ9" s="435">
        <f>IF($B9="","",COUNTIF(DH9:EP9,"✗"))</f>
        <v/>
      </c>
      <c r="ER9" s="433" t="n"/>
      <c r="ES9" s="244" t="n"/>
      <c r="ET9" s="244" t="n"/>
      <c r="EU9" s="244" t="n"/>
      <c r="EV9" s="244" t="n"/>
      <c r="EW9" s="244" t="n"/>
      <c r="EX9" s="244" t="n"/>
      <c r="EY9" s="434" t="n"/>
      <c r="EZ9" s="244" t="n"/>
      <c r="FA9" s="244" t="n"/>
      <c r="FB9" s="244" t="n"/>
      <c r="FC9" s="244" t="n"/>
      <c r="FD9" s="244" t="n"/>
      <c r="FE9" s="244" t="n"/>
      <c r="FF9" s="434" t="n"/>
      <c r="FG9" s="244" t="n"/>
      <c r="FH9" s="244" t="n"/>
      <c r="FI9" s="244" t="n"/>
      <c r="FJ9" s="244" t="n"/>
      <c r="FK9" s="244" t="n"/>
      <c r="FL9" s="244" t="n"/>
      <c r="FM9" s="434" t="n"/>
      <c r="FN9" s="244" t="n"/>
      <c r="FO9" s="244" t="n"/>
      <c r="FP9" s="244" t="n"/>
      <c r="FQ9" s="244" t="n"/>
      <c r="FR9" s="244" t="n"/>
      <c r="FS9" s="244" t="n"/>
      <c r="FT9" s="434" t="n"/>
      <c r="FU9" s="244" t="n"/>
      <c r="FV9" s="244" t="n"/>
      <c r="FW9" s="244" t="n"/>
      <c r="FX9" s="244" t="n"/>
      <c r="FY9" s="244" t="n"/>
      <c r="FZ9" s="244" t="n"/>
      <c r="GA9" s="435">
        <f>IF($B9="","",COUNTIF(ER9:FZ9,"✗"))</f>
        <v/>
      </c>
      <c r="GB9" s="433" t="n"/>
      <c r="GC9" s="244" t="n"/>
      <c r="GD9" s="244" t="n"/>
      <c r="GE9" s="244" t="n"/>
      <c r="GF9" s="244" t="n"/>
      <c r="GG9" s="244" t="n"/>
      <c r="GH9" s="244" t="n"/>
      <c r="GI9" s="434" t="n"/>
      <c r="GJ9" s="244" t="n"/>
      <c r="GK9" s="244" t="n"/>
      <c r="GL9" s="244" t="n"/>
      <c r="GM9" s="244" t="n"/>
      <c r="GN9" s="244" t="n"/>
      <c r="GO9" s="244" t="n"/>
      <c r="GP9" s="434" t="n"/>
      <c r="GQ9" s="244" t="n"/>
      <c r="GR9" s="244" t="n"/>
      <c r="GS9" s="244" t="n"/>
      <c r="GT9" s="244" t="n"/>
      <c r="GU9" s="244" t="n"/>
      <c r="GV9" s="244" t="n"/>
      <c r="GW9" s="434" t="n"/>
      <c r="GX9" s="244" t="n"/>
      <c r="GY9" s="244" t="n"/>
      <c r="GZ9" s="244" t="n"/>
      <c r="HA9" s="244" t="n"/>
      <c r="HB9" s="244" t="n"/>
      <c r="HC9" s="244" t="n"/>
      <c r="HD9" s="434" t="n"/>
      <c r="HE9" s="244" t="n"/>
      <c r="HF9" s="244" t="n"/>
      <c r="HG9" s="244" t="n"/>
      <c r="HH9" s="244" t="n"/>
      <c r="HI9" s="244" t="n"/>
      <c r="HJ9" s="244" t="n"/>
      <c r="HK9" s="435">
        <f>IF($B9="","",COUNTIF(GB9:HJ9,"✗"))</f>
        <v/>
      </c>
    </row>
    <row r="10">
      <c r="A10" s="226" t="n">
        <v>2</v>
      </c>
      <c r="B10" s="227">
        <f>'ข้อมูลนักเรียน'!T10</f>
        <v/>
      </c>
      <c r="C10" s="432">
        <f>IF(B10="","",COUNTIF(D10:HK10,"✗"))</f>
        <v/>
      </c>
      <c r="D10" s="433" t="n"/>
      <c r="E10" s="244" t="n"/>
      <c r="F10" s="244" t="n"/>
      <c r="G10" s="244" t="n"/>
      <c r="H10" s="244" t="n"/>
      <c r="I10" s="244" t="n"/>
      <c r="J10" s="244" t="n"/>
      <c r="K10" s="434" t="n"/>
      <c r="L10" s="244" t="n"/>
      <c r="M10" s="244" t="n"/>
      <c r="N10" s="244" t="n"/>
      <c r="O10" s="244" t="n"/>
      <c r="P10" s="244" t="n"/>
      <c r="Q10" s="244" t="n"/>
      <c r="R10" s="434" t="n"/>
      <c r="S10" s="244" t="n"/>
      <c r="T10" s="244" t="n"/>
      <c r="U10" s="244" t="n"/>
      <c r="V10" s="244" t="n"/>
      <c r="W10" s="244" t="n"/>
      <c r="X10" s="244" t="n"/>
      <c r="Y10" s="434" t="n"/>
      <c r="Z10" s="244" t="n"/>
      <c r="AA10" s="244" t="n"/>
      <c r="AB10" s="244" t="n"/>
      <c r="AC10" s="244" t="n"/>
      <c r="AD10" s="244" t="n"/>
      <c r="AE10" s="244" t="n"/>
      <c r="AF10" s="434" t="n"/>
      <c r="AG10" s="244" t="n"/>
      <c r="AH10" s="244" t="n"/>
      <c r="AI10" s="244" t="n"/>
      <c r="AJ10" s="244" t="n"/>
      <c r="AK10" s="244" t="n"/>
      <c r="AL10" s="244" t="n"/>
      <c r="AM10" s="435">
        <f>IF($B10="","",COUNTIF(D10:AL10,"✗"))</f>
        <v/>
      </c>
      <c r="AN10" s="433" t="n"/>
      <c r="AO10" s="244" t="n"/>
      <c r="AP10" s="244" t="n"/>
      <c r="AQ10" s="244" t="n"/>
      <c r="AR10" s="244" t="n"/>
      <c r="AS10" s="244" t="n"/>
      <c r="AT10" s="244" t="n"/>
      <c r="AU10" s="434" t="n"/>
      <c r="AV10" s="244" t="n"/>
      <c r="AW10" s="244" t="n"/>
      <c r="AX10" s="244" t="n"/>
      <c r="AY10" s="244" t="n"/>
      <c r="AZ10" s="244" t="n"/>
      <c r="BA10" s="244" t="n"/>
      <c r="BB10" s="434" t="n"/>
      <c r="BC10" s="244" t="n"/>
      <c r="BD10" s="244" t="n"/>
      <c r="BE10" s="244" t="n"/>
      <c r="BF10" s="244" t="n"/>
      <c r="BG10" s="244" t="n"/>
      <c r="BH10" s="244" t="n"/>
      <c r="BI10" s="434" t="n"/>
      <c r="BJ10" s="244" t="n"/>
      <c r="BK10" s="244" t="n"/>
      <c r="BL10" s="244" t="n"/>
      <c r="BM10" s="244" t="n"/>
      <c r="BN10" s="244" t="n"/>
      <c r="BO10" s="244" t="n"/>
      <c r="BP10" s="434" t="n"/>
      <c r="BQ10" s="244" t="n"/>
      <c r="BR10" s="244" t="n"/>
      <c r="BS10" s="244" t="n"/>
      <c r="BT10" s="244" t="n"/>
      <c r="BU10" s="244" t="n"/>
      <c r="BV10" s="244" t="n"/>
      <c r="BW10" s="435">
        <f>IF($B10="","",COUNTIF(AN10:BV10,"✗"))</f>
        <v/>
      </c>
      <c r="BX10" s="433" t="n"/>
      <c r="BY10" s="244" t="n"/>
      <c r="BZ10" s="244" t="n"/>
      <c r="CA10" s="244" t="n"/>
      <c r="CB10" s="244" t="n"/>
      <c r="CC10" s="244" t="n"/>
      <c r="CD10" s="244" t="n"/>
      <c r="CE10" s="434" t="n"/>
      <c r="CF10" s="244" t="n"/>
      <c r="CG10" s="244" t="n"/>
      <c r="CH10" s="244" t="n"/>
      <c r="CI10" s="244" t="n"/>
      <c r="CJ10" s="244" t="n"/>
      <c r="CK10" s="244" t="n"/>
      <c r="CL10" s="434" t="n"/>
      <c r="CM10" s="244" t="n"/>
      <c r="CN10" s="244" t="n"/>
      <c r="CO10" s="244" t="n"/>
      <c r="CP10" s="244" t="n"/>
      <c r="CQ10" s="244" t="n"/>
      <c r="CR10" s="244" t="n"/>
      <c r="CS10" s="434" t="n"/>
      <c r="CT10" s="244" t="n"/>
      <c r="CU10" s="244" t="n"/>
      <c r="CV10" s="244" t="n"/>
      <c r="CW10" s="244" t="n"/>
      <c r="CX10" s="244" t="n"/>
      <c r="CY10" s="244" t="n"/>
      <c r="CZ10" s="434" t="n"/>
      <c r="DA10" s="244" t="n"/>
      <c r="DB10" s="244" t="n"/>
      <c r="DC10" s="244" t="n"/>
      <c r="DD10" s="244" t="n"/>
      <c r="DE10" s="244" t="n"/>
      <c r="DF10" s="244" t="n"/>
      <c r="DG10" s="435">
        <f>IF($B10="","",COUNTIF(BX10:DF10,"✗"))</f>
        <v/>
      </c>
      <c r="DH10" s="433" t="n"/>
      <c r="DI10" s="244" t="n"/>
      <c r="DJ10" s="244" t="n"/>
      <c r="DK10" s="244" t="n"/>
      <c r="DL10" s="244" t="n"/>
      <c r="DM10" s="244" t="n"/>
      <c r="DN10" s="244" t="n"/>
      <c r="DO10" s="434" t="n"/>
      <c r="DP10" s="244" t="n"/>
      <c r="DQ10" s="244" t="n"/>
      <c r="DR10" s="244" t="n"/>
      <c r="DS10" s="244" t="n"/>
      <c r="DT10" s="244" t="n"/>
      <c r="DU10" s="244" t="n"/>
      <c r="DV10" s="434" t="n"/>
      <c r="DW10" s="244" t="n"/>
      <c r="DX10" s="244" t="n"/>
      <c r="DY10" s="244" t="n"/>
      <c r="DZ10" s="244" t="n"/>
      <c r="EA10" s="244" t="n"/>
      <c r="EB10" s="244" t="n"/>
      <c r="EC10" s="434" t="n"/>
      <c r="ED10" s="244" t="n"/>
      <c r="EE10" s="244" t="n"/>
      <c r="EF10" s="244" t="n"/>
      <c r="EG10" s="244" t="n"/>
      <c r="EH10" s="244" t="n"/>
      <c r="EI10" s="244" t="n"/>
      <c r="EJ10" s="434" t="n"/>
      <c r="EK10" s="244" t="n"/>
      <c r="EL10" s="244" t="n"/>
      <c r="EM10" s="244" t="n"/>
      <c r="EN10" s="244" t="n"/>
      <c r="EO10" s="244" t="n"/>
      <c r="EP10" s="244" t="n"/>
      <c r="EQ10" s="435">
        <f>IF($B10="","",COUNTIF(DH10:EP10,"✗"))</f>
        <v/>
      </c>
      <c r="ER10" s="433" t="n"/>
      <c r="ES10" s="244" t="n"/>
      <c r="ET10" s="244" t="n"/>
      <c r="EU10" s="244" t="n"/>
      <c r="EV10" s="244" t="n"/>
      <c r="EW10" s="244" t="n"/>
      <c r="EX10" s="244" t="n"/>
      <c r="EY10" s="434" t="n"/>
      <c r="EZ10" s="244" t="n"/>
      <c r="FA10" s="244" t="n"/>
      <c r="FB10" s="244" t="n"/>
      <c r="FC10" s="244" t="n"/>
      <c r="FD10" s="244" t="n"/>
      <c r="FE10" s="244" t="n"/>
      <c r="FF10" s="434" t="n"/>
      <c r="FG10" s="244" t="n"/>
      <c r="FH10" s="244" t="n"/>
      <c r="FI10" s="244" t="n"/>
      <c r="FJ10" s="244" t="n"/>
      <c r="FK10" s="244" t="n"/>
      <c r="FL10" s="244" t="n"/>
      <c r="FM10" s="434" t="n"/>
      <c r="FN10" s="244" t="n"/>
      <c r="FO10" s="244" t="n"/>
      <c r="FP10" s="244" t="n"/>
      <c r="FQ10" s="244" t="n"/>
      <c r="FR10" s="244" t="n"/>
      <c r="FS10" s="244" t="n"/>
      <c r="FT10" s="434" t="n"/>
      <c r="FU10" s="244" t="n"/>
      <c r="FV10" s="244" t="n"/>
      <c r="FW10" s="244" t="n"/>
      <c r="FX10" s="244" t="n"/>
      <c r="FY10" s="244" t="n"/>
      <c r="FZ10" s="244" t="n"/>
      <c r="GA10" s="435">
        <f>IF($B10="","",COUNTIF(ER10:FZ10,"✗"))</f>
        <v/>
      </c>
      <c r="GB10" s="433" t="n"/>
      <c r="GC10" s="244" t="n"/>
      <c r="GD10" s="244" t="n"/>
      <c r="GE10" s="244" t="n"/>
      <c r="GF10" s="244" t="n"/>
      <c r="GG10" s="244" t="n"/>
      <c r="GH10" s="244" t="n"/>
      <c r="GI10" s="434" t="n"/>
      <c r="GJ10" s="244" t="n"/>
      <c r="GK10" s="244" t="n"/>
      <c r="GL10" s="244" t="n"/>
      <c r="GM10" s="244" t="n"/>
      <c r="GN10" s="244" t="n"/>
      <c r="GO10" s="244" t="n"/>
      <c r="GP10" s="434" t="n"/>
      <c r="GQ10" s="244" t="n"/>
      <c r="GR10" s="244" t="n"/>
      <c r="GS10" s="244" t="n"/>
      <c r="GT10" s="244" t="n"/>
      <c r="GU10" s="244" t="n"/>
      <c r="GV10" s="244" t="n"/>
      <c r="GW10" s="434" t="n"/>
      <c r="GX10" s="244" t="n"/>
      <c r="GY10" s="244" t="n"/>
      <c r="GZ10" s="244" t="n"/>
      <c r="HA10" s="244" t="n"/>
      <c r="HB10" s="244" t="n"/>
      <c r="HC10" s="244" t="n"/>
      <c r="HD10" s="434" t="n"/>
      <c r="HE10" s="244" t="n"/>
      <c r="HF10" s="244" t="n"/>
      <c r="HG10" s="244" t="n"/>
      <c r="HH10" s="244" t="n"/>
      <c r="HI10" s="244" t="n"/>
      <c r="HJ10" s="244" t="n"/>
      <c r="HK10" s="435">
        <f>IF($B10="","",COUNTIF(GB10:HJ10,"✗"))</f>
        <v/>
      </c>
    </row>
    <row r="11">
      <c r="A11" s="218" t="n">
        <v>3</v>
      </c>
      <c r="B11" s="219">
        <f>'ข้อมูลนักเรียน'!T11</f>
        <v/>
      </c>
      <c r="C11" s="432">
        <f>IF(B11="","",COUNTIF(D11:HK11,"✗"))</f>
        <v/>
      </c>
      <c r="D11" s="433" t="n"/>
      <c r="E11" s="244" t="n"/>
      <c r="F11" s="244" t="n"/>
      <c r="G11" s="244" t="n"/>
      <c r="H11" s="244" t="n"/>
      <c r="I11" s="244" t="n"/>
      <c r="J11" s="244" t="n"/>
      <c r="K11" s="434" t="n"/>
      <c r="L11" s="244" t="n"/>
      <c r="M11" s="244" t="n"/>
      <c r="N11" s="244" t="n"/>
      <c r="O11" s="244" t="n"/>
      <c r="P11" s="244" t="n"/>
      <c r="Q11" s="244" t="n"/>
      <c r="R11" s="434" t="n"/>
      <c r="S11" s="244" t="n"/>
      <c r="T11" s="244" t="n"/>
      <c r="U11" s="244" t="n"/>
      <c r="V11" s="244" t="n"/>
      <c r="W11" s="244" t="n"/>
      <c r="X11" s="244" t="n"/>
      <c r="Y11" s="434" t="n"/>
      <c r="Z11" s="244" t="n"/>
      <c r="AA11" s="244" t="n"/>
      <c r="AB11" s="244" t="n"/>
      <c r="AC11" s="244" t="n"/>
      <c r="AD11" s="244" t="n"/>
      <c r="AE11" s="244" t="n"/>
      <c r="AF11" s="434" t="n"/>
      <c r="AG11" s="244" t="n"/>
      <c r="AH11" s="244" t="n"/>
      <c r="AI11" s="244" t="n"/>
      <c r="AJ11" s="244" t="n"/>
      <c r="AK11" s="244" t="n"/>
      <c r="AL11" s="244" t="n"/>
      <c r="AM11" s="435">
        <f>IF($B11="","",COUNTIF(D11:AL11,"✗"))</f>
        <v/>
      </c>
      <c r="AN11" s="433" t="n"/>
      <c r="AO11" s="244" t="n"/>
      <c r="AP11" s="244" t="n"/>
      <c r="AQ11" s="244" t="n"/>
      <c r="AR11" s="244" t="n"/>
      <c r="AS11" s="244" t="n"/>
      <c r="AT11" s="244" t="n"/>
      <c r="AU11" s="434" t="n"/>
      <c r="AV11" s="244" t="n"/>
      <c r="AW11" s="244" t="n"/>
      <c r="AX11" s="244" t="n"/>
      <c r="AY11" s="244" t="n"/>
      <c r="AZ11" s="244" t="n"/>
      <c r="BA11" s="244" t="n"/>
      <c r="BB11" s="434" t="n"/>
      <c r="BC11" s="244" t="n"/>
      <c r="BD11" s="244" t="n"/>
      <c r="BE11" s="244" t="n"/>
      <c r="BF11" s="244" t="n"/>
      <c r="BG11" s="244" t="n"/>
      <c r="BH11" s="244" t="n"/>
      <c r="BI11" s="434" t="n"/>
      <c r="BJ11" s="244" t="n"/>
      <c r="BK11" s="244" t="n"/>
      <c r="BL11" s="244" t="n"/>
      <c r="BM11" s="244" t="n"/>
      <c r="BN11" s="244" t="n"/>
      <c r="BO11" s="244" t="n"/>
      <c r="BP11" s="434" t="n"/>
      <c r="BQ11" s="244" t="n"/>
      <c r="BR11" s="244" t="n"/>
      <c r="BS11" s="244" t="n"/>
      <c r="BT11" s="244" t="n"/>
      <c r="BU11" s="244" t="n"/>
      <c r="BV11" s="244" t="n"/>
      <c r="BW11" s="435">
        <f>IF($B11="","",COUNTIF(AN11:BV11,"✗"))</f>
        <v/>
      </c>
      <c r="BX11" s="433" t="n"/>
      <c r="BY11" s="244" t="n"/>
      <c r="BZ11" s="244" t="n"/>
      <c r="CA11" s="244" t="n"/>
      <c r="CB11" s="244" t="n"/>
      <c r="CC11" s="244" t="n"/>
      <c r="CD11" s="244" t="n"/>
      <c r="CE11" s="434" t="n"/>
      <c r="CF11" s="244" t="n"/>
      <c r="CG11" s="244" t="n"/>
      <c r="CH11" s="244" t="n"/>
      <c r="CI11" s="244" t="n"/>
      <c r="CJ11" s="244" t="n"/>
      <c r="CK11" s="244" t="n"/>
      <c r="CL11" s="434" t="n"/>
      <c r="CM11" s="244" t="n"/>
      <c r="CN11" s="244" t="n"/>
      <c r="CO11" s="244" t="n"/>
      <c r="CP11" s="244" t="n"/>
      <c r="CQ11" s="244" t="n"/>
      <c r="CR11" s="244" t="n"/>
      <c r="CS11" s="434" t="n"/>
      <c r="CT11" s="244" t="n"/>
      <c r="CU11" s="244" t="n"/>
      <c r="CV11" s="244" t="n"/>
      <c r="CW11" s="244" t="n"/>
      <c r="CX11" s="244" t="n"/>
      <c r="CY11" s="244" t="n"/>
      <c r="CZ11" s="434" t="n"/>
      <c r="DA11" s="244" t="n"/>
      <c r="DB11" s="244" t="n"/>
      <c r="DC11" s="244" t="n"/>
      <c r="DD11" s="244" t="n"/>
      <c r="DE11" s="244" t="n"/>
      <c r="DF11" s="244" t="n"/>
      <c r="DG11" s="435">
        <f>IF($B11="","",COUNTIF(BX11:DF11,"✗"))</f>
        <v/>
      </c>
      <c r="DH11" s="433" t="n"/>
      <c r="DI11" s="244" t="n"/>
      <c r="DJ11" s="244" t="n"/>
      <c r="DK11" s="244" t="n"/>
      <c r="DL11" s="244" t="n"/>
      <c r="DM11" s="244" t="n"/>
      <c r="DN11" s="244" t="n"/>
      <c r="DO11" s="434" t="n"/>
      <c r="DP11" s="244" t="n"/>
      <c r="DQ11" s="244" t="n"/>
      <c r="DR11" s="244" t="n"/>
      <c r="DS11" s="244" t="n"/>
      <c r="DT11" s="244" t="n"/>
      <c r="DU11" s="244" t="n"/>
      <c r="DV11" s="434" t="n"/>
      <c r="DW11" s="244" t="n"/>
      <c r="DX11" s="244" t="n"/>
      <c r="DY11" s="244" t="n"/>
      <c r="DZ11" s="244" t="n"/>
      <c r="EA11" s="244" t="n"/>
      <c r="EB11" s="244" t="n"/>
      <c r="EC11" s="434" t="n"/>
      <c r="ED11" s="244" t="n"/>
      <c r="EE11" s="244" t="n"/>
      <c r="EF11" s="244" t="n"/>
      <c r="EG11" s="244" t="n"/>
      <c r="EH11" s="244" t="n"/>
      <c r="EI11" s="244" t="n"/>
      <c r="EJ11" s="434" t="n"/>
      <c r="EK11" s="244" t="n"/>
      <c r="EL11" s="244" t="n"/>
      <c r="EM11" s="244" t="n"/>
      <c r="EN11" s="244" t="n"/>
      <c r="EO11" s="244" t="n"/>
      <c r="EP11" s="244" t="n"/>
      <c r="EQ11" s="435">
        <f>IF($B11="","",COUNTIF(DH11:EP11,"✗"))</f>
        <v/>
      </c>
      <c r="ER11" s="433" t="n"/>
      <c r="ES11" s="244" t="n"/>
      <c r="ET11" s="244" t="n"/>
      <c r="EU11" s="244" t="n"/>
      <c r="EV11" s="244" t="n"/>
      <c r="EW11" s="244" t="n"/>
      <c r="EX11" s="244" t="n"/>
      <c r="EY11" s="434" t="n"/>
      <c r="EZ11" s="244" t="n"/>
      <c r="FA11" s="244" t="n"/>
      <c r="FB11" s="244" t="n"/>
      <c r="FC11" s="244" t="n"/>
      <c r="FD11" s="244" t="n"/>
      <c r="FE11" s="244" t="n"/>
      <c r="FF11" s="434" t="n"/>
      <c r="FG11" s="244" t="n"/>
      <c r="FH11" s="244" t="n"/>
      <c r="FI11" s="244" t="n"/>
      <c r="FJ11" s="244" t="n"/>
      <c r="FK11" s="244" t="n"/>
      <c r="FL11" s="244" t="n"/>
      <c r="FM11" s="434" t="n"/>
      <c r="FN11" s="244" t="n"/>
      <c r="FO11" s="244" t="n"/>
      <c r="FP11" s="244" t="n"/>
      <c r="FQ11" s="244" t="n"/>
      <c r="FR11" s="244" t="n"/>
      <c r="FS11" s="244" t="n"/>
      <c r="FT11" s="434" t="n"/>
      <c r="FU11" s="244" t="n"/>
      <c r="FV11" s="244" t="n"/>
      <c r="FW11" s="244" t="n"/>
      <c r="FX11" s="244" t="n"/>
      <c r="FY11" s="244" t="n"/>
      <c r="FZ11" s="244" t="n"/>
      <c r="GA11" s="435">
        <f>IF($B11="","",COUNTIF(ER11:FZ11,"✗"))</f>
        <v/>
      </c>
      <c r="GB11" s="433" t="n"/>
      <c r="GC11" s="244" t="n"/>
      <c r="GD11" s="244" t="n"/>
      <c r="GE11" s="244" t="n"/>
      <c r="GF11" s="244" t="n"/>
      <c r="GG11" s="244" t="n"/>
      <c r="GH11" s="244" t="n"/>
      <c r="GI11" s="434" t="n"/>
      <c r="GJ11" s="244" t="n"/>
      <c r="GK11" s="244" t="n"/>
      <c r="GL11" s="244" t="n"/>
      <c r="GM11" s="244" t="n"/>
      <c r="GN11" s="244" t="n"/>
      <c r="GO11" s="244" t="n"/>
      <c r="GP11" s="434" t="n"/>
      <c r="GQ11" s="244" t="n"/>
      <c r="GR11" s="244" t="n"/>
      <c r="GS11" s="244" t="n"/>
      <c r="GT11" s="244" t="n"/>
      <c r="GU11" s="244" t="n"/>
      <c r="GV11" s="244" t="n"/>
      <c r="GW11" s="434" t="n"/>
      <c r="GX11" s="244" t="n"/>
      <c r="GY11" s="244" t="n"/>
      <c r="GZ11" s="244" t="n"/>
      <c r="HA11" s="244" t="n"/>
      <c r="HB11" s="244" t="n"/>
      <c r="HC11" s="244" t="n"/>
      <c r="HD11" s="434" t="n"/>
      <c r="HE11" s="244" t="n"/>
      <c r="HF11" s="244" t="n"/>
      <c r="HG11" s="244" t="n"/>
      <c r="HH11" s="244" t="n"/>
      <c r="HI11" s="244" t="n"/>
      <c r="HJ11" s="244" t="n"/>
      <c r="HK11" s="435">
        <f>IF($B11="","",COUNTIF(GB11:HJ11,"✗"))</f>
        <v/>
      </c>
    </row>
    <row r="12">
      <c r="A12" s="226" t="n">
        <v>4</v>
      </c>
      <c r="B12" s="227">
        <f>'ข้อมูลนักเรียน'!T12</f>
        <v/>
      </c>
      <c r="C12" s="432">
        <f>IF(B12="","",COUNTIF(D12:HK12,"✗"))</f>
        <v/>
      </c>
      <c r="D12" s="433" t="n"/>
      <c r="E12" s="244" t="n"/>
      <c r="F12" s="244" t="n"/>
      <c r="G12" s="244" t="n"/>
      <c r="H12" s="244" t="n"/>
      <c r="I12" s="244" t="n"/>
      <c r="J12" s="244" t="n"/>
      <c r="K12" s="434" t="n"/>
      <c r="L12" s="244" t="n"/>
      <c r="M12" s="244" t="n"/>
      <c r="N12" s="244" t="n"/>
      <c r="O12" s="244" t="n"/>
      <c r="P12" s="244" t="n"/>
      <c r="Q12" s="244" t="n"/>
      <c r="R12" s="434" t="n"/>
      <c r="S12" s="244" t="n"/>
      <c r="T12" s="244" t="n"/>
      <c r="U12" s="244" t="n"/>
      <c r="V12" s="244" t="n"/>
      <c r="W12" s="244" t="n"/>
      <c r="X12" s="244" t="n"/>
      <c r="Y12" s="434" t="n"/>
      <c r="Z12" s="244" t="n"/>
      <c r="AA12" s="244" t="n"/>
      <c r="AB12" s="244" t="n"/>
      <c r="AC12" s="244" t="n"/>
      <c r="AD12" s="244" t="n"/>
      <c r="AE12" s="244" t="n"/>
      <c r="AF12" s="434" t="n"/>
      <c r="AG12" s="244" t="n"/>
      <c r="AH12" s="244" t="n"/>
      <c r="AI12" s="244" t="n"/>
      <c r="AJ12" s="244" t="n"/>
      <c r="AK12" s="244" t="n"/>
      <c r="AL12" s="244" t="n"/>
      <c r="AM12" s="435">
        <f>IF($B12="","",COUNTIF(D12:AL12,"✗"))</f>
        <v/>
      </c>
      <c r="AN12" s="433" t="n"/>
      <c r="AO12" s="244" t="n"/>
      <c r="AP12" s="244" t="n"/>
      <c r="AQ12" s="244" t="n"/>
      <c r="AR12" s="244" t="n"/>
      <c r="AS12" s="244" t="n"/>
      <c r="AT12" s="244" t="n"/>
      <c r="AU12" s="434" t="n"/>
      <c r="AV12" s="244" t="n"/>
      <c r="AW12" s="244" t="n"/>
      <c r="AX12" s="244" t="n"/>
      <c r="AY12" s="244" t="n"/>
      <c r="AZ12" s="244" t="n"/>
      <c r="BA12" s="244" t="n"/>
      <c r="BB12" s="434" t="n"/>
      <c r="BC12" s="244" t="n"/>
      <c r="BD12" s="244" t="n"/>
      <c r="BE12" s="244" t="n"/>
      <c r="BF12" s="244" t="n"/>
      <c r="BG12" s="244" t="n"/>
      <c r="BH12" s="244" t="n"/>
      <c r="BI12" s="434" t="n"/>
      <c r="BJ12" s="244" t="n"/>
      <c r="BK12" s="244" t="n"/>
      <c r="BL12" s="244" t="n"/>
      <c r="BM12" s="244" t="n"/>
      <c r="BN12" s="244" t="n"/>
      <c r="BO12" s="244" t="n"/>
      <c r="BP12" s="434" t="n"/>
      <c r="BQ12" s="244" t="n"/>
      <c r="BR12" s="244" t="n"/>
      <c r="BS12" s="244" t="n"/>
      <c r="BT12" s="244" t="n"/>
      <c r="BU12" s="244" t="n"/>
      <c r="BV12" s="244" t="n"/>
      <c r="BW12" s="435">
        <f>IF($B12="","",COUNTIF(AN12:BV12,"✗"))</f>
        <v/>
      </c>
      <c r="BX12" s="433" t="n"/>
      <c r="BY12" s="244" t="n"/>
      <c r="BZ12" s="244" t="n"/>
      <c r="CA12" s="244" t="n"/>
      <c r="CB12" s="244" t="n"/>
      <c r="CC12" s="244" t="n"/>
      <c r="CD12" s="244" t="n"/>
      <c r="CE12" s="434" t="n"/>
      <c r="CF12" s="244" t="n"/>
      <c r="CG12" s="244" t="n"/>
      <c r="CH12" s="244" t="n"/>
      <c r="CI12" s="244" t="n"/>
      <c r="CJ12" s="244" t="n"/>
      <c r="CK12" s="244" t="n"/>
      <c r="CL12" s="434" t="n"/>
      <c r="CM12" s="244" t="n"/>
      <c r="CN12" s="244" t="n"/>
      <c r="CO12" s="244" t="n"/>
      <c r="CP12" s="244" t="n"/>
      <c r="CQ12" s="244" t="n"/>
      <c r="CR12" s="244" t="n"/>
      <c r="CS12" s="434" t="n"/>
      <c r="CT12" s="244" t="n"/>
      <c r="CU12" s="244" t="n"/>
      <c r="CV12" s="244" t="n"/>
      <c r="CW12" s="244" t="n"/>
      <c r="CX12" s="244" t="n"/>
      <c r="CY12" s="244" t="n"/>
      <c r="CZ12" s="434" t="n"/>
      <c r="DA12" s="244" t="n"/>
      <c r="DB12" s="244" t="n"/>
      <c r="DC12" s="244" t="n"/>
      <c r="DD12" s="244" t="n"/>
      <c r="DE12" s="244" t="n"/>
      <c r="DF12" s="244" t="n"/>
      <c r="DG12" s="435">
        <f>IF($B12="","",COUNTIF(BX12:DF12,"✗"))</f>
        <v/>
      </c>
      <c r="DH12" s="433" t="n"/>
      <c r="DI12" s="244" t="n"/>
      <c r="DJ12" s="244" t="n"/>
      <c r="DK12" s="244" t="n"/>
      <c r="DL12" s="244" t="n"/>
      <c r="DM12" s="244" t="n"/>
      <c r="DN12" s="244" t="n"/>
      <c r="DO12" s="434" t="n"/>
      <c r="DP12" s="244" t="n"/>
      <c r="DQ12" s="244" t="n"/>
      <c r="DR12" s="244" t="n"/>
      <c r="DS12" s="244" t="n"/>
      <c r="DT12" s="244" t="n"/>
      <c r="DU12" s="244" t="n"/>
      <c r="DV12" s="434" t="n"/>
      <c r="DW12" s="244" t="n"/>
      <c r="DX12" s="244" t="n"/>
      <c r="DY12" s="244" t="n"/>
      <c r="DZ12" s="244" t="n"/>
      <c r="EA12" s="244" t="n"/>
      <c r="EB12" s="244" t="n"/>
      <c r="EC12" s="434" t="n"/>
      <c r="ED12" s="244" t="n"/>
      <c r="EE12" s="244" t="n"/>
      <c r="EF12" s="244" t="n"/>
      <c r="EG12" s="244" t="n"/>
      <c r="EH12" s="244" t="n"/>
      <c r="EI12" s="244" t="n"/>
      <c r="EJ12" s="434" t="n"/>
      <c r="EK12" s="244" t="n"/>
      <c r="EL12" s="244" t="n"/>
      <c r="EM12" s="244" t="n"/>
      <c r="EN12" s="244" t="n"/>
      <c r="EO12" s="244" t="n"/>
      <c r="EP12" s="244" t="n"/>
      <c r="EQ12" s="435">
        <f>IF($B12="","",COUNTIF(DH12:EP12,"✗"))</f>
        <v/>
      </c>
      <c r="ER12" s="433" t="n"/>
      <c r="ES12" s="244" t="n"/>
      <c r="ET12" s="244" t="n"/>
      <c r="EU12" s="244" t="n"/>
      <c r="EV12" s="244" t="n"/>
      <c r="EW12" s="244" t="n"/>
      <c r="EX12" s="244" t="n"/>
      <c r="EY12" s="434" t="n"/>
      <c r="EZ12" s="244" t="n"/>
      <c r="FA12" s="244" t="n"/>
      <c r="FB12" s="244" t="n"/>
      <c r="FC12" s="244" t="n"/>
      <c r="FD12" s="244" t="n"/>
      <c r="FE12" s="244" t="n"/>
      <c r="FF12" s="434" t="n"/>
      <c r="FG12" s="244" t="n"/>
      <c r="FH12" s="244" t="n"/>
      <c r="FI12" s="244" t="n"/>
      <c r="FJ12" s="244" t="n"/>
      <c r="FK12" s="244" t="n"/>
      <c r="FL12" s="244" t="n"/>
      <c r="FM12" s="434" t="n"/>
      <c r="FN12" s="244" t="n"/>
      <c r="FO12" s="244" t="n"/>
      <c r="FP12" s="244" t="n"/>
      <c r="FQ12" s="244" t="n"/>
      <c r="FR12" s="244" t="n"/>
      <c r="FS12" s="244" t="n"/>
      <c r="FT12" s="434" t="n"/>
      <c r="FU12" s="244" t="n"/>
      <c r="FV12" s="244" t="n"/>
      <c r="FW12" s="244" t="n"/>
      <c r="FX12" s="244" t="n"/>
      <c r="FY12" s="244" t="n"/>
      <c r="FZ12" s="244" t="n"/>
      <c r="GA12" s="435">
        <f>IF($B12="","",COUNTIF(ER12:FZ12,"✗"))</f>
        <v/>
      </c>
      <c r="GB12" s="433" t="n"/>
      <c r="GC12" s="244" t="n"/>
      <c r="GD12" s="244" t="n"/>
      <c r="GE12" s="244" t="n"/>
      <c r="GF12" s="244" t="n"/>
      <c r="GG12" s="244" t="n"/>
      <c r="GH12" s="244" t="n"/>
      <c r="GI12" s="434" t="n"/>
      <c r="GJ12" s="244" t="n"/>
      <c r="GK12" s="244" t="n"/>
      <c r="GL12" s="244" t="n"/>
      <c r="GM12" s="244" t="n"/>
      <c r="GN12" s="244" t="n"/>
      <c r="GO12" s="244" t="n"/>
      <c r="GP12" s="434" t="n"/>
      <c r="GQ12" s="244" t="n"/>
      <c r="GR12" s="244" t="n"/>
      <c r="GS12" s="244" t="n"/>
      <c r="GT12" s="244" t="n"/>
      <c r="GU12" s="244" t="n"/>
      <c r="GV12" s="244" t="n"/>
      <c r="GW12" s="434" t="n"/>
      <c r="GX12" s="244" t="n"/>
      <c r="GY12" s="244" t="n"/>
      <c r="GZ12" s="244" t="n"/>
      <c r="HA12" s="244" t="n"/>
      <c r="HB12" s="244" t="n"/>
      <c r="HC12" s="244" t="n"/>
      <c r="HD12" s="434" t="n"/>
      <c r="HE12" s="244" t="n"/>
      <c r="HF12" s="244" t="n"/>
      <c r="HG12" s="244" t="n"/>
      <c r="HH12" s="244" t="n"/>
      <c r="HI12" s="244" t="n"/>
      <c r="HJ12" s="244" t="n"/>
      <c r="HK12" s="435">
        <f>IF($B12="","",COUNTIF(GB12:HJ12,"✗"))</f>
        <v/>
      </c>
    </row>
    <row r="13">
      <c r="A13" s="218" t="n">
        <v>5</v>
      </c>
      <c r="B13" s="219">
        <f>'ข้อมูลนักเรียน'!T13</f>
        <v/>
      </c>
      <c r="C13" s="432">
        <f>IF(B13="","",COUNTIF(D13:HK13,"✗"))</f>
        <v/>
      </c>
      <c r="D13" s="433" t="n"/>
      <c r="E13" s="244" t="n"/>
      <c r="F13" s="244" t="n"/>
      <c r="G13" s="244" t="n"/>
      <c r="H13" s="244" t="n"/>
      <c r="I13" s="244" t="n"/>
      <c r="J13" s="244" t="n"/>
      <c r="K13" s="434" t="n"/>
      <c r="L13" s="244" t="n"/>
      <c r="M13" s="244" t="n"/>
      <c r="N13" s="244" t="n"/>
      <c r="O13" s="244" t="n"/>
      <c r="P13" s="244" t="n"/>
      <c r="Q13" s="244" t="n"/>
      <c r="R13" s="434" t="n"/>
      <c r="S13" s="244" t="n"/>
      <c r="T13" s="244" t="n"/>
      <c r="U13" s="244" t="n"/>
      <c r="V13" s="244" t="n"/>
      <c r="W13" s="244" t="n"/>
      <c r="X13" s="244" t="n"/>
      <c r="Y13" s="434" t="n"/>
      <c r="Z13" s="244" t="n"/>
      <c r="AA13" s="244" t="n"/>
      <c r="AB13" s="244" t="n"/>
      <c r="AC13" s="244" t="n"/>
      <c r="AD13" s="244" t="n"/>
      <c r="AE13" s="244" t="n"/>
      <c r="AF13" s="434" t="n"/>
      <c r="AG13" s="244" t="n"/>
      <c r="AH13" s="244" t="n"/>
      <c r="AI13" s="244" t="n"/>
      <c r="AJ13" s="244" t="n"/>
      <c r="AK13" s="244" t="n"/>
      <c r="AL13" s="244" t="n"/>
      <c r="AM13" s="435">
        <f>IF($B13="","",COUNTIF(D13:AL13,"✗"))</f>
        <v/>
      </c>
      <c r="AN13" s="433" t="n"/>
      <c r="AO13" s="244" t="n"/>
      <c r="AP13" s="244" t="n"/>
      <c r="AQ13" s="244" t="n"/>
      <c r="AR13" s="244" t="n"/>
      <c r="AS13" s="244" t="n"/>
      <c r="AT13" s="244" t="n"/>
      <c r="AU13" s="434" t="n"/>
      <c r="AV13" s="244" t="n"/>
      <c r="AW13" s="244" t="n"/>
      <c r="AX13" s="244" t="n"/>
      <c r="AY13" s="244" t="n"/>
      <c r="AZ13" s="244" t="n"/>
      <c r="BA13" s="244" t="n"/>
      <c r="BB13" s="434" t="n"/>
      <c r="BC13" s="244" t="n"/>
      <c r="BD13" s="244" t="n"/>
      <c r="BE13" s="244" t="n"/>
      <c r="BF13" s="244" t="n"/>
      <c r="BG13" s="244" t="n"/>
      <c r="BH13" s="244" t="n"/>
      <c r="BI13" s="434" t="n"/>
      <c r="BJ13" s="244" t="n"/>
      <c r="BK13" s="244" t="n"/>
      <c r="BL13" s="244" t="n"/>
      <c r="BM13" s="244" t="n"/>
      <c r="BN13" s="244" t="n"/>
      <c r="BO13" s="244" t="n"/>
      <c r="BP13" s="434" t="n"/>
      <c r="BQ13" s="244" t="n"/>
      <c r="BR13" s="244" t="n"/>
      <c r="BS13" s="244" t="n"/>
      <c r="BT13" s="244" t="n"/>
      <c r="BU13" s="244" t="n"/>
      <c r="BV13" s="244" t="n"/>
      <c r="BW13" s="435">
        <f>IF($B13="","",COUNTIF(AN13:BV13,"✗"))</f>
        <v/>
      </c>
      <c r="BX13" s="433" t="n"/>
      <c r="BY13" s="244" t="n"/>
      <c r="BZ13" s="244" t="n"/>
      <c r="CA13" s="244" t="n"/>
      <c r="CB13" s="244" t="n"/>
      <c r="CC13" s="244" t="n"/>
      <c r="CD13" s="244" t="n"/>
      <c r="CE13" s="434" t="n"/>
      <c r="CF13" s="244" t="n"/>
      <c r="CG13" s="244" t="n"/>
      <c r="CH13" s="244" t="n"/>
      <c r="CI13" s="244" t="n"/>
      <c r="CJ13" s="244" t="n"/>
      <c r="CK13" s="244" t="n"/>
      <c r="CL13" s="434" t="n"/>
      <c r="CM13" s="244" t="n"/>
      <c r="CN13" s="244" t="n"/>
      <c r="CO13" s="244" t="n"/>
      <c r="CP13" s="244" t="n"/>
      <c r="CQ13" s="244" t="n"/>
      <c r="CR13" s="244" t="n"/>
      <c r="CS13" s="434" t="n"/>
      <c r="CT13" s="244" t="n"/>
      <c r="CU13" s="244" t="n"/>
      <c r="CV13" s="244" t="n"/>
      <c r="CW13" s="244" t="n"/>
      <c r="CX13" s="244" t="n"/>
      <c r="CY13" s="244" t="n"/>
      <c r="CZ13" s="434" t="n"/>
      <c r="DA13" s="244" t="n"/>
      <c r="DB13" s="244" t="n"/>
      <c r="DC13" s="244" t="n"/>
      <c r="DD13" s="244" t="n"/>
      <c r="DE13" s="244" t="n"/>
      <c r="DF13" s="244" t="n"/>
      <c r="DG13" s="435">
        <f>IF($B13="","",COUNTIF(BX13:DF13,"✗"))</f>
        <v/>
      </c>
      <c r="DH13" s="433" t="n"/>
      <c r="DI13" s="244" t="n"/>
      <c r="DJ13" s="244" t="n"/>
      <c r="DK13" s="244" t="n"/>
      <c r="DL13" s="244" t="n"/>
      <c r="DM13" s="244" t="n"/>
      <c r="DN13" s="244" t="n"/>
      <c r="DO13" s="434" t="n"/>
      <c r="DP13" s="244" t="n"/>
      <c r="DQ13" s="244" t="n"/>
      <c r="DR13" s="244" t="n"/>
      <c r="DS13" s="244" t="n"/>
      <c r="DT13" s="244" t="n"/>
      <c r="DU13" s="244" t="n"/>
      <c r="DV13" s="434" t="n"/>
      <c r="DW13" s="244" t="n"/>
      <c r="DX13" s="244" t="n"/>
      <c r="DY13" s="244" t="n"/>
      <c r="DZ13" s="244" t="n"/>
      <c r="EA13" s="244" t="n"/>
      <c r="EB13" s="244" t="n"/>
      <c r="EC13" s="434" t="n"/>
      <c r="ED13" s="244" t="n"/>
      <c r="EE13" s="244" t="n"/>
      <c r="EF13" s="244" t="n"/>
      <c r="EG13" s="244" t="n"/>
      <c r="EH13" s="244" t="n"/>
      <c r="EI13" s="244" t="n"/>
      <c r="EJ13" s="434" t="n"/>
      <c r="EK13" s="244" t="n"/>
      <c r="EL13" s="244" t="n"/>
      <c r="EM13" s="244" t="n"/>
      <c r="EN13" s="244" t="n"/>
      <c r="EO13" s="244" t="n"/>
      <c r="EP13" s="244" t="n"/>
      <c r="EQ13" s="435">
        <f>IF($B13="","",COUNTIF(DH13:EP13,"✗"))</f>
        <v/>
      </c>
      <c r="ER13" s="433" t="n"/>
      <c r="ES13" s="244" t="n"/>
      <c r="ET13" s="244" t="n"/>
      <c r="EU13" s="244" t="n"/>
      <c r="EV13" s="244" t="n"/>
      <c r="EW13" s="244" t="n"/>
      <c r="EX13" s="244" t="n"/>
      <c r="EY13" s="434" t="n"/>
      <c r="EZ13" s="244" t="n"/>
      <c r="FA13" s="244" t="n"/>
      <c r="FB13" s="244" t="n"/>
      <c r="FC13" s="244" t="n"/>
      <c r="FD13" s="244" t="n"/>
      <c r="FE13" s="244" t="n"/>
      <c r="FF13" s="434" t="n"/>
      <c r="FG13" s="244" t="n"/>
      <c r="FH13" s="244" t="n"/>
      <c r="FI13" s="244" t="n"/>
      <c r="FJ13" s="244" t="n"/>
      <c r="FK13" s="244" t="n"/>
      <c r="FL13" s="244" t="n"/>
      <c r="FM13" s="434" t="n"/>
      <c r="FN13" s="244" t="n"/>
      <c r="FO13" s="244" t="n"/>
      <c r="FP13" s="244" t="n"/>
      <c r="FQ13" s="244" t="n"/>
      <c r="FR13" s="244" t="n"/>
      <c r="FS13" s="244" t="n"/>
      <c r="FT13" s="434" t="n"/>
      <c r="FU13" s="244" t="n"/>
      <c r="FV13" s="244" t="n"/>
      <c r="FW13" s="244" t="n"/>
      <c r="FX13" s="244" t="n"/>
      <c r="FY13" s="244" t="n"/>
      <c r="FZ13" s="244" t="n"/>
      <c r="GA13" s="435">
        <f>IF($B13="","",COUNTIF(ER13:FZ13,"✗"))</f>
        <v/>
      </c>
      <c r="GB13" s="433" t="n"/>
      <c r="GC13" s="244" t="n"/>
      <c r="GD13" s="244" t="n"/>
      <c r="GE13" s="244" t="n"/>
      <c r="GF13" s="244" t="n"/>
      <c r="GG13" s="244" t="n"/>
      <c r="GH13" s="244" t="n"/>
      <c r="GI13" s="434" t="n"/>
      <c r="GJ13" s="244" t="n"/>
      <c r="GK13" s="244" t="n"/>
      <c r="GL13" s="244" t="n"/>
      <c r="GM13" s="244" t="n"/>
      <c r="GN13" s="244" t="n"/>
      <c r="GO13" s="244" t="n"/>
      <c r="GP13" s="434" t="n"/>
      <c r="GQ13" s="244" t="n"/>
      <c r="GR13" s="244" t="n"/>
      <c r="GS13" s="244" t="n"/>
      <c r="GT13" s="244" t="n"/>
      <c r="GU13" s="244" t="n"/>
      <c r="GV13" s="244" t="n"/>
      <c r="GW13" s="434" t="n"/>
      <c r="GX13" s="244" t="n"/>
      <c r="GY13" s="244" t="n"/>
      <c r="GZ13" s="244" t="n"/>
      <c r="HA13" s="244" t="n"/>
      <c r="HB13" s="244" t="n"/>
      <c r="HC13" s="244" t="n"/>
      <c r="HD13" s="434" t="n"/>
      <c r="HE13" s="244" t="n"/>
      <c r="HF13" s="244" t="n"/>
      <c r="HG13" s="244" t="n"/>
      <c r="HH13" s="244" t="n"/>
      <c r="HI13" s="244" t="n"/>
      <c r="HJ13" s="244" t="n"/>
      <c r="HK13" s="435">
        <f>IF($B13="","",COUNTIF(GB13:HJ13,"✗"))</f>
        <v/>
      </c>
    </row>
    <row r="14">
      <c r="A14" s="436" t="inlineStr">
        <is>
          <t>ต้องแก้ไข (คน)</t>
        </is>
      </c>
      <c r="D14" s="437">
        <f>IF(D$4=0,"",COUNTIF(D9:D13,"✗"))</f>
        <v/>
      </c>
      <c r="E14" s="438">
        <f>IF(E$4=0,"",COUNTIF(E9:E13,"✗"))</f>
        <v/>
      </c>
      <c r="F14" s="438">
        <f>IF(F$4=0,"",COUNTIF(F9:F13,"✗"))</f>
        <v/>
      </c>
      <c r="G14" s="438">
        <f>IF(G$4=0,"",COUNTIF(G9:G13,"✗"))</f>
        <v/>
      </c>
      <c r="H14" s="438">
        <f>IF(H$4=0,"",COUNTIF(H9:H13,"✗"))</f>
        <v/>
      </c>
      <c r="I14" s="438">
        <f>IF(I$4=0,"",COUNTIF(I9:I13,"✗"))</f>
        <v/>
      </c>
      <c r="J14" s="438">
        <f>IF(J$4=0,"",COUNTIF(J9:J13,"✗"))</f>
        <v/>
      </c>
      <c r="K14" s="439">
        <f>IF(K$4=0,"",COUNTIF(K9:K13,"✗"))</f>
        <v/>
      </c>
      <c r="L14" s="438">
        <f>IF(L$4=0,"",COUNTIF(L9:L13,"✗"))</f>
        <v/>
      </c>
      <c r="M14" s="438">
        <f>IF(M$4=0,"",COUNTIF(M9:M13,"✗"))</f>
        <v/>
      </c>
      <c r="N14" s="438">
        <f>IF(N$4=0,"",COUNTIF(N9:N13,"✗"))</f>
        <v/>
      </c>
      <c r="O14" s="438">
        <f>IF(O$4=0,"",COUNTIF(O9:O13,"✗"))</f>
        <v/>
      </c>
      <c r="P14" s="438">
        <f>IF(P$4=0,"",COUNTIF(P9:P13,"✗"))</f>
        <v/>
      </c>
      <c r="Q14" s="438">
        <f>IF(Q$4=0,"",COUNTIF(Q9:Q13,"✗"))</f>
        <v/>
      </c>
      <c r="R14" s="439">
        <f>IF(R$4=0,"",COUNTIF(R9:R13,"✗"))</f>
        <v/>
      </c>
      <c r="S14" s="438">
        <f>IF(S$4=0,"",COUNTIF(S9:S13,"✗"))</f>
        <v/>
      </c>
      <c r="T14" s="438">
        <f>IF(T$4=0,"",COUNTIF(T9:T13,"✗"))</f>
        <v/>
      </c>
      <c r="U14" s="438">
        <f>IF(U$4=0,"",COUNTIF(U9:U13,"✗"))</f>
        <v/>
      </c>
      <c r="V14" s="438">
        <f>IF(V$4=0,"",COUNTIF(V9:V13,"✗"))</f>
        <v/>
      </c>
      <c r="W14" s="438">
        <f>IF(W$4=0,"",COUNTIF(W9:W13,"✗"))</f>
        <v/>
      </c>
      <c r="X14" s="438">
        <f>IF(X$4=0,"",COUNTIF(X9:X13,"✗"))</f>
        <v/>
      </c>
      <c r="Y14" s="439">
        <f>IF(Y$4=0,"",COUNTIF(Y9:Y13,"✗"))</f>
        <v/>
      </c>
      <c r="Z14" s="438">
        <f>IF(Z$4=0,"",COUNTIF(Z9:Z13,"✗"))</f>
        <v/>
      </c>
      <c r="AA14" s="438">
        <f>IF(AA$4=0,"",COUNTIF(AA9:AA13,"✗"))</f>
        <v/>
      </c>
      <c r="AB14" s="438">
        <f>IF(AB$4=0,"",COUNTIF(AB9:AB13,"✗"))</f>
        <v/>
      </c>
      <c r="AC14" s="438">
        <f>IF(AC$4=0,"",COUNTIF(AC9:AC13,"✗"))</f>
        <v/>
      </c>
      <c r="AD14" s="438">
        <f>IF(AD$4=0,"",COUNTIF(AD9:AD13,"✗"))</f>
        <v/>
      </c>
      <c r="AE14" s="438">
        <f>IF(AE$4=0,"",COUNTIF(AE9:AE13,"✗"))</f>
        <v/>
      </c>
      <c r="AF14" s="439">
        <f>IF(AF$4=0,"",COUNTIF(AF9:AF13,"✗"))</f>
        <v/>
      </c>
      <c r="AG14" s="438">
        <f>IF(AG$4=0,"",COUNTIF(AG9:AG13,"✗"))</f>
        <v/>
      </c>
      <c r="AH14" s="438">
        <f>IF(AH$4=0,"",COUNTIF(AH9:AH13,"✗"))</f>
        <v/>
      </c>
      <c r="AI14" s="438">
        <f>IF(AI$4=0,"",COUNTIF(AI9:AI13,"✗"))</f>
        <v/>
      </c>
      <c r="AJ14" s="438">
        <f>IF(AJ$4=0,"",COUNTIF(AJ9:AJ13,"✗"))</f>
        <v/>
      </c>
      <c r="AK14" s="438">
        <f>IF(AK$4=0,"",COUNTIF(AK9:AK13,"✗"))</f>
        <v/>
      </c>
      <c r="AL14" s="438">
        <f>IF(AL$4=0,"",COUNTIF(AL9:AL13,"✗"))</f>
        <v/>
      </c>
      <c r="AM14" s="440">
        <f>SUM(AM9:AM13)</f>
        <v/>
      </c>
      <c r="AN14" s="437">
        <f>IF(AN$4=0,"",COUNTIF(AN9:AN13,"✗"))</f>
        <v/>
      </c>
      <c r="AO14" s="438">
        <f>IF(AO$4=0,"",COUNTIF(AO9:AO13,"✗"))</f>
        <v/>
      </c>
      <c r="AP14" s="438">
        <f>IF(AP$4=0,"",COUNTIF(AP9:AP13,"✗"))</f>
        <v/>
      </c>
      <c r="AQ14" s="438">
        <f>IF(AQ$4=0,"",COUNTIF(AQ9:AQ13,"✗"))</f>
        <v/>
      </c>
      <c r="AR14" s="438">
        <f>IF(AR$4=0,"",COUNTIF(AR9:AR13,"✗"))</f>
        <v/>
      </c>
      <c r="AS14" s="438">
        <f>IF(AS$4=0,"",COUNTIF(AS9:AS13,"✗"))</f>
        <v/>
      </c>
      <c r="AT14" s="438">
        <f>IF(AT$4=0,"",COUNTIF(AT9:AT13,"✗"))</f>
        <v/>
      </c>
      <c r="AU14" s="439">
        <f>IF(AU$4=0,"",COUNTIF(AU9:AU13,"✗"))</f>
        <v/>
      </c>
      <c r="AV14" s="438">
        <f>IF(AV$4=0,"",COUNTIF(AV9:AV13,"✗"))</f>
        <v/>
      </c>
      <c r="AW14" s="438">
        <f>IF(AW$4=0,"",COUNTIF(AW9:AW13,"✗"))</f>
        <v/>
      </c>
      <c r="AX14" s="438">
        <f>IF(AX$4=0,"",COUNTIF(AX9:AX13,"✗"))</f>
        <v/>
      </c>
      <c r="AY14" s="438">
        <f>IF(AY$4=0,"",COUNTIF(AY9:AY13,"✗"))</f>
        <v/>
      </c>
      <c r="AZ14" s="438">
        <f>IF(AZ$4=0,"",COUNTIF(AZ9:AZ13,"✗"))</f>
        <v/>
      </c>
      <c r="BA14" s="438">
        <f>IF(BA$4=0,"",COUNTIF(BA9:BA13,"✗"))</f>
        <v/>
      </c>
      <c r="BB14" s="439">
        <f>IF(BB$4=0,"",COUNTIF(BB9:BB13,"✗"))</f>
        <v/>
      </c>
      <c r="BC14" s="438">
        <f>IF(BC$4=0,"",COUNTIF(BC9:BC13,"✗"))</f>
        <v/>
      </c>
      <c r="BD14" s="438">
        <f>IF(BD$4=0,"",COUNTIF(BD9:BD13,"✗"))</f>
        <v/>
      </c>
      <c r="BE14" s="438">
        <f>IF(BE$4=0,"",COUNTIF(BE9:BE13,"✗"))</f>
        <v/>
      </c>
      <c r="BF14" s="438">
        <f>IF(BF$4=0,"",COUNTIF(BF9:BF13,"✗"))</f>
        <v/>
      </c>
      <c r="BG14" s="438">
        <f>IF(BG$4=0,"",COUNTIF(BG9:BG13,"✗"))</f>
        <v/>
      </c>
      <c r="BH14" s="438">
        <f>IF(BH$4=0,"",COUNTIF(BH9:BH13,"✗"))</f>
        <v/>
      </c>
      <c r="BI14" s="439">
        <f>IF(BI$4=0,"",COUNTIF(BI9:BI13,"✗"))</f>
        <v/>
      </c>
      <c r="BJ14" s="438">
        <f>IF(BJ$4=0,"",COUNTIF(BJ9:BJ13,"✗"))</f>
        <v/>
      </c>
      <c r="BK14" s="438">
        <f>IF(BK$4=0,"",COUNTIF(BK9:BK13,"✗"))</f>
        <v/>
      </c>
      <c r="BL14" s="438">
        <f>IF(BL$4=0,"",COUNTIF(BL9:BL13,"✗"))</f>
        <v/>
      </c>
      <c r="BM14" s="438">
        <f>IF(BM$4=0,"",COUNTIF(BM9:BM13,"✗"))</f>
        <v/>
      </c>
      <c r="BN14" s="438">
        <f>IF(BN$4=0,"",COUNTIF(BN9:BN13,"✗"))</f>
        <v/>
      </c>
      <c r="BO14" s="438">
        <f>IF(BO$4=0,"",COUNTIF(BO9:BO13,"✗"))</f>
        <v/>
      </c>
      <c r="BP14" s="439">
        <f>IF(BP$4=0,"",COUNTIF(BP9:BP13,"✗"))</f>
        <v/>
      </c>
      <c r="BQ14" s="438">
        <f>IF(BQ$4=0,"",COUNTIF(BQ9:BQ13,"✗"))</f>
        <v/>
      </c>
      <c r="BR14" s="438">
        <f>IF(BR$4=0,"",COUNTIF(BR9:BR13,"✗"))</f>
        <v/>
      </c>
      <c r="BS14" s="438">
        <f>IF(BS$4=0,"",COUNTIF(BS9:BS13,"✗"))</f>
        <v/>
      </c>
      <c r="BT14" s="438">
        <f>IF(BT$4=0,"",COUNTIF(BT9:BT13,"✗"))</f>
        <v/>
      </c>
      <c r="BU14" s="438">
        <f>IF(BU$4=0,"",COUNTIF(BU9:BU13,"✗"))</f>
        <v/>
      </c>
      <c r="BV14" s="438">
        <f>IF(BV$4=0,"",COUNTIF(BV9:BV13,"✗"))</f>
        <v/>
      </c>
      <c r="BW14" s="440">
        <f>SUM(BW9:BW13)</f>
        <v/>
      </c>
      <c r="BX14" s="437">
        <f>IF(BX$4=0,"",COUNTIF(BX9:BX13,"✗"))</f>
        <v/>
      </c>
      <c r="BY14" s="438">
        <f>IF(BY$4=0,"",COUNTIF(BY9:BY13,"✗"))</f>
        <v/>
      </c>
      <c r="BZ14" s="438">
        <f>IF(BZ$4=0,"",COUNTIF(BZ9:BZ13,"✗"))</f>
        <v/>
      </c>
      <c r="CA14" s="438">
        <f>IF(CA$4=0,"",COUNTIF(CA9:CA13,"✗"))</f>
        <v/>
      </c>
      <c r="CB14" s="438">
        <f>IF(CB$4=0,"",COUNTIF(CB9:CB13,"✗"))</f>
        <v/>
      </c>
      <c r="CC14" s="438">
        <f>IF(CC$4=0,"",COUNTIF(CC9:CC13,"✗"))</f>
        <v/>
      </c>
      <c r="CD14" s="438">
        <f>IF(CD$4=0,"",COUNTIF(CD9:CD13,"✗"))</f>
        <v/>
      </c>
      <c r="CE14" s="439">
        <f>IF(CE$4=0,"",COUNTIF(CE9:CE13,"✗"))</f>
        <v/>
      </c>
      <c r="CF14" s="438">
        <f>IF(CF$4=0,"",COUNTIF(CF9:CF13,"✗"))</f>
        <v/>
      </c>
      <c r="CG14" s="438">
        <f>IF(CG$4=0,"",COUNTIF(CG9:CG13,"✗"))</f>
        <v/>
      </c>
      <c r="CH14" s="438">
        <f>IF(CH$4=0,"",COUNTIF(CH9:CH13,"✗"))</f>
        <v/>
      </c>
      <c r="CI14" s="438">
        <f>IF(CI$4=0,"",COUNTIF(CI9:CI13,"✗"))</f>
        <v/>
      </c>
      <c r="CJ14" s="438">
        <f>IF(CJ$4=0,"",COUNTIF(CJ9:CJ13,"✗"))</f>
        <v/>
      </c>
      <c r="CK14" s="438">
        <f>IF(CK$4=0,"",COUNTIF(CK9:CK13,"✗"))</f>
        <v/>
      </c>
      <c r="CL14" s="439">
        <f>IF(CL$4=0,"",COUNTIF(CL9:CL13,"✗"))</f>
        <v/>
      </c>
      <c r="CM14" s="438">
        <f>IF(CM$4=0,"",COUNTIF(CM9:CM13,"✗"))</f>
        <v/>
      </c>
      <c r="CN14" s="438">
        <f>IF(CN$4=0,"",COUNTIF(CN9:CN13,"✗"))</f>
        <v/>
      </c>
      <c r="CO14" s="438">
        <f>IF(CO$4=0,"",COUNTIF(CO9:CO13,"✗"))</f>
        <v/>
      </c>
      <c r="CP14" s="438">
        <f>IF(CP$4=0,"",COUNTIF(CP9:CP13,"✗"))</f>
        <v/>
      </c>
      <c r="CQ14" s="438">
        <f>IF(CQ$4=0,"",COUNTIF(CQ9:CQ13,"✗"))</f>
        <v/>
      </c>
      <c r="CR14" s="438">
        <f>IF(CR$4=0,"",COUNTIF(CR9:CR13,"✗"))</f>
        <v/>
      </c>
      <c r="CS14" s="439">
        <f>IF(CS$4=0,"",COUNTIF(CS9:CS13,"✗"))</f>
        <v/>
      </c>
      <c r="CT14" s="438">
        <f>IF(CT$4=0,"",COUNTIF(CT9:CT13,"✗"))</f>
        <v/>
      </c>
      <c r="CU14" s="438">
        <f>IF(CU$4=0,"",COUNTIF(CU9:CU13,"✗"))</f>
        <v/>
      </c>
      <c r="CV14" s="438">
        <f>IF(CV$4=0,"",COUNTIF(CV9:CV13,"✗"))</f>
        <v/>
      </c>
      <c r="CW14" s="438">
        <f>IF(CW$4=0,"",COUNTIF(CW9:CW13,"✗"))</f>
        <v/>
      </c>
      <c r="CX14" s="438">
        <f>IF(CX$4=0,"",COUNTIF(CX9:CX13,"✗"))</f>
        <v/>
      </c>
      <c r="CY14" s="438">
        <f>IF(CY$4=0,"",COUNTIF(CY9:CY13,"✗"))</f>
        <v/>
      </c>
      <c r="CZ14" s="439">
        <f>IF(CZ$4=0,"",COUNTIF(CZ9:CZ13,"✗"))</f>
        <v/>
      </c>
      <c r="DA14" s="438">
        <f>IF(DA$4=0,"",COUNTIF(DA9:DA13,"✗"))</f>
        <v/>
      </c>
      <c r="DB14" s="438">
        <f>IF(DB$4=0,"",COUNTIF(DB9:DB13,"✗"))</f>
        <v/>
      </c>
      <c r="DC14" s="438">
        <f>IF(DC$4=0,"",COUNTIF(DC9:DC13,"✗"))</f>
        <v/>
      </c>
      <c r="DD14" s="438">
        <f>IF(DD$4=0,"",COUNTIF(DD9:DD13,"✗"))</f>
        <v/>
      </c>
      <c r="DE14" s="438">
        <f>IF(DE$4=0,"",COUNTIF(DE9:DE13,"✗"))</f>
        <v/>
      </c>
      <c r="DF14" s="438">
        <f>IF(DF$4=0,"",COUNTIF(DF9:DF13,"✗"))</f>
        <v/>
      </c>
      <c r="DG14" s="440">
        <f>SUM(DG9:DG13)</f>
        <v/>
      </c>
      <c r="DH14" s="437">
        <f>IF(DH$4=0,"",COUNTIF(DH9:DH13,"✗"))</f>
        <v/>
      </c>
      <c r="DI14" s="438">
        <f>IF(DI$4=0,"",COUNTIF(DI9:DI13,"✗"))</f>
        <v/>
      </c>
      <c r="DJ14" s="438">
        <f>IF(DJ$4=0,"",COUNTIF(DJ9:DJ13,"✗"))</f>
        <v/>
      </c>
      <c r="DK14" s="438">
        <f>IF(DK$4=0,"",COUNTIF(DK9:DK13,"✗"))</f>
        <v/>
      </c>
      <c r="DL14" s="438">
        <f>IF(DL$4=0,"",COUNTIF(DL9:DL13,"✗"))</f>
        <v/>
      </c>
      <c r="DM14" s="438">
        <f>IF(DM$4=0,"",COUNTIF(DM9:DM13,"✗"))</f>
        <v/>
      </c>
      <c r="DN14" s="438">
        <f>IF(DN$4=0,"",COUNTIF(DN9:DN13,"✗"))</f>
        <v/>
      </c>
      <c r="DO14" s="439">
        <f>IF(DO$4=0,"",COUNTIF(DO9:DO13,"✗"))</f>
        <v/>
      </c>
      <c r="DP14" s="438">
        <f>IF(DP$4=0,"",COUNTIF(DP9:DP13,"✗"))</f>
        <v/>
      </c>
      <c r="DQ14" s="438">
        <f>IF(DQ$4=0,"",COUNTIF(DQ9:DQ13,"✗"))</f>
        <v/>
      </c>
      <c r="DR14" s="438">
        <f>IF(DR$4=0,"",COUNTIF(DR9:DR13,"✗"))</f>
        <v/>
      </c>
      <c r="DS14" s="438">
        <f>IF(DS$4=0,"",COUNTIF(DS9:DS13,"✗"))</f>
        <v/>
      </c>
      <c r="DT14" s="438">
        <f>IF(DT$4=0,"",COUNTIF(DT9:DT13,"✗"))</f>
        <v/>
      </c>
      <c r="DU14" s="438">
        <f>IF(DU$4=0,"",COUNTIF(DU9:DU13,"✗"))</f>
        <v/>
      </c>
      <c r="DV14" s="439">
        <f>IF(DV$4=0,"",COUNTIF(DV9:DV13,"✗"))</f>
        <v/>
      </c>
      <c r="DW14" s="438">
        <f>IF(DW$4=0,"",COUNTIF(DW9:DW13,"✗"))</f>
        <v/>
      </c>
      <c r="DX14" s="438">
        <f>IF(DX$4=0,"",COUNTIF(DX9:DX13,"✗"))</f>
        <v/>
      </c>
      <c r="DY14" s="438">
        <f>IF(DY$4=0,"",COUNTIF(DY9:DY13,"✗"))</f>
        <v/>
      </c>
      <c r="DZ14" s="438">
        <f>IF(DZ$4=0,"",COUNTIF(DZ9:DZ13,"✗"))</f>
        <v/>
      </c>
      <c r="EA14" s="438">
        <f>IF(EA$4=0,"",COUNTIF(EA9:EA13,"✗"))</f>
        <v/>
      </c>
      <c r="EB14" s="438">
        <f>IF(EB$4=0,"",COUNTIF(EB9:EB13,"✗"))</f>
        <v/>
      </c>
      <c r="EC14" s="439">
        <f>IF(EC$4=0,"",COUNTIF(EC9:EC13,"✗"))</f>
        <v/>
      </c>
      <c r="ED14" s="438">
        <f>IF(ED$4=0,"",COUNTIF(ED9:ED13,"✗"))</f>
        <v/>
      </c>
      <c r="EE14" s="438">
        <f>IF(EE$4=0,"",COUNTIF(EE9:EE13,"✗"))</f>
        <v/>
      </c>
      <c r="EF14" s="438">
        <f>IF(EF$4=0,"",COUNTIF(EF9:EF13,"✗"))</f>
        <v/>
      </c>
      <c r="EG14" s="438">
        <f>IF(EG$4=0,"",COUNTIF(EG9:EG13,"✗"))</f>
        <v/>
      </c>
      <c r="EH14" s="438">
        <f>IF(EH$4=0,"",COUNTIF(EH9:EH13,"✗"))</f>
        <v/>
      </c>
      <c r="EI14" s="438">
        <f>IF(EI$4=0,"",COUNTIF(EI9:EI13,"✗"))</f>
        <v/>
      </c>
      <c r="EJ14" s="439">
        <f>IF(EJ$4=0,"",COUNTIF(EJ9:EJ13,"✗"))</f>
        <v/>
      </c>
      <c r="EK14" s="438">
        <f>IF(EK$4=0,"",COUNTIF(EK9:EK13,"✗"))</f>
        <v/>
      </c>
      <c r="EL14" s="438">
        <f>IF(EL$4=0,"",COUNTIF(EL9:EL13,"✗"))</f>
        <v/>
      </c>
      <c r="EM14" s="438">
        <f>IF(EM$4=0,"",COUNTIF(EM9:EM13,"✗"))</f>
        <v/>
      </c>
      <c r="EN14" s="438">
        <f>IF(EN$4=0,"",COUNTIF(EN9:EN13,"✗"))</f>
        <v/>
      </c>
      <c r="EO14" s="438">
        <f>IF(EO$4=0,"",COUNTIF(EO9:EO13,"✗"))</f>
        <v/>
      </c>
      <c r="EP14" s="438">
        <f>IF(EP$4=0,"",COUNTIF(EP9:EP13,"✗"))</f>
        <v/>
      </c>
      <c r="EQ14" s="440">
        <f>SUM(EQ9:EQ13)</f>
        <v/>
      </c>
      <c r="ER14" s="437">
        <f>IF(ER$4=0,"",COUNTIF(ER9:ER13,"✗"))</f>
        <v/>
      </c>
      <c r="ES14" s="438">
        <f>IF(ES$4=0,"",COUNTIF(ES9:ES13,"✗"))</f>
        <v/>
      </c>
      <c r="ET14" s="438">
        <f>IF(ET$4=0,"",COUNTIF(ET9:ET13,"✗"))</f>
        <v/>
      </c>
      <c r="EU14" s="438">
        <f>IF(EU$4=0,"",COUNTIF(EU9:EU13,"✗"))</f>
        <v/>
      </c>
      <c r="EV14" s="438">
        <f>IF(EV$4=0,"",COUNTIF(EV9:EV13,"✗"))</f>
        <v/>
      </c>
      <c r="EW14" s="438">
        <f>IF(EW$4=0,"",COUNTIF(EW9:EW13,"✗"))</f>
        <v/>
      </c>
      <c r="EX14" s="438">
        <f>IF(EX$4=0,"",COUNTIF(EX9:EX13,"✗"))</f>
        <v/>
      </c>
      <c r="EY14" s="439">
        <f>IF(EY$4=0,"",COUNTIF(EY9:EY13,"✗"))</f>
        <v/>
      </c>
      <c r="EZ14" s="438">
        <f>IF(EZ$4=0,"",COUNTIF(EZ9:EZ13,"✗"))</f>
        <v/>
      </c>
      <c r="FA14" s="438">
        <f>IF(FA$4=0,"",COUNTIF(FA9:FA13,"✗"))</f>
        <v/>
      </c>
      <c r="FB14" s="438">
        <f>IF(FB$4=0,"",COUNTIF(FB9:FB13,"✗"))</f>
        <v/>
      </c>
      <c r="FC14" s="438">
        <f>IF(FC$4=0,"",COUNTIF(FC9:FC13,"✗"))</f>
        <v/>
      </c>
      <c r="FD14" s="438">
        <f>IF(FD$4=0,"",COUNTIF(FD9:FD13,"✗"))</f>
        <v/>
      </c>
      <c r="FE14" s="438">
        <f>IF(FE$4=0,"",COUNTIF(FE9:FE13,"✗"))</f>
        <v/>
      </c>
      <c r="FF14" s="439">
        <f>IF(FF$4=0,"",COUNTIF(FF9:FF13,"✗"))</f>
        <v/>
      </c>
      <c r="FG14" s="438">
        <f>IF(FG$4=0,"",COUNTIF(FG9:FG13,"✗"))</f>
        <v/>
      </c>
      <c r="FH14" s="438">
        <f>IF(FH$4=0,"",COUNTIF(FH9:FH13,"✗"))</f>
        <v/>
      </c>
      <c r="FI14" s="438">
        <f>IF(FI$4=0,"",COUNTIF(FI9:FI13,"✗"))</f>
        <v/>
      </c>
      <c r="FJ14" s="438">
        <f>IF(FJ$4=0,"",COUNTIF(FJ9:FJ13,"✗"))</f>
        <v/>
      </c>
      <c r="FK14" s="438">
        <f>IF(FK$4=0,"",COUNTIF(FK9:FK13,"✗"))</f>
        <v/>
      </c>
      <c r="FL14" s="438">
        <f>IF(FL$4=0,"",COUNTIF(FL9:FL13,"✗"))</f>
        <v/>
      </c>
      <c r="FM14" s="439">
        <f>IF(FM$4=0,"",COUNTIF(FM9:FM13,"✗"))</f>
        <v/>
      </c>
      <c r="FN14" s="438">
        <f>IF(FN$4=0,"",COUNTIF(FN9:FN13,"✗"))</f>
        <v/>
      </c>
      <c r="FO14" s="438">
        <f>IF(FO$4=0,"",COUNTIF(FO9:FO13,"✗"))</f>
        <v/>
      </c>
      <c r="FP14" s="438">
        <f>IF(FP$4=0,"",COUNTIF(FP9:FP13,"✗"))</f>
        <v/>
      </c>
      <c r="FQ14" s="438">
        <f>IF(FQ$4=0,"",COUNTIF(FQ9:FQ13,"✗"))</f>
        <v/>
      </c>
      <c r="FR14" s="438">
        <f>IF(FR$4=0,"",COUNTIF(FR9:FR13,"✗"))</f>
        <v/>
      </c>
      <c r="FS14" s="438">
        <f>IF(FS$4=0,"",COUNTIF(FS9:FS13,"✗"))</f>
        <v/>
      </c>
      <c r="FT14" s="439">
        <f>IF(FT$4=0,"",COUNTIF(FT9:FT13,"✗"))</f>
        <v/>
      </c>
      <c r="FU14" s="438">
        <f>IF(FU$4=0,"",COUNTIF(FU9:FU13,"✗"))</f>
        <v/>
      </c>
      <c r="FV14" s="438">
        <f>IF(FV$4=0,"",COUNTIF(FV9:FV13,"✗"))</f>
        <v/>
      </c>
      <c r="FW14" s="438">
        <f>IF(FW$4=0,"",COUNTIF(FW9:FW13,"✗"))</f>
        <v/>
      </c>
      <c r="FX14" s="438">
        <f>IF(FX$4=0,"",COUNTIF(FX9:FX13,"✗"))</f>
        <v/>
      </c>
      <c r="FY14" s="438">
        <f>IF(FY$4=0,"",COUNTIF(FY9:FY13,"✗"))</f>
        <v/>
      </c>
      <c r="FZ14" s="438">
        <f>IF(FZ$4=0,"",COUNTIF(FZ9:FZ13,"✗"))</f>
        <v/>
      </c>
      <c r="GA14" s="440">
        <f>SUM(GA9:GA13)</f>
        <v/>
      </c>
      <c r="GB14" s="437">
        <f>IF(GB$4=0,"",COUNTIF(GB9:GB13,"✗"))</f>
        <v/>
      </c>
      <c r="GC14" s="438">
        <f>IF(GC$4=0,"",COUNTIF(GC9:GC13,"✗"))</f>
        <v/>
      </c>
      <c r="GD14" s="438">
        <f>IF(GD$4=0,"",COUNTIF(GD9:GD13,"✗"))</f>
        <v/>
      </c>
      <c r="GE14" s="438">
        <f>IF(GE$4=0,"",COUNTIF(GE9:GE13,"✗"))</f>
        <v/>
      </c>
      <c r="GF14" s="438">
        <f>IF(GF$4=0,"",COUNTIF(GF9:GF13,"✗"))</f>
        <v/>
      </c>
      <c r="GG14" s="438">
        <f>IF(GG$4=0,"",COUNTIF(GG9:GG13,"✗"))</f>
        <v/>
      </c>
      <c r="GH14" s="438">
        <f>IF(GH$4=0,"",COUNTIF(GH9:GH13,"✗"))</f>
        <v/>
      </c>
      <c r="GI14" s="439">
        <f>IF(GI$4=0,"",COUNTIF(GI9:GI13,"✗"))</f>
        <v/>
      </c>
      <c r="GJ14" s="438">
        <f>IF(GJ$4=0,"",COUNTIF(GJ9:GJ13,"✗"))</f>
        <v/>
      </c>
      <c r="GK14" s="438">
        <f>IF(GK$4=0,"",COUNTIF(GK9:GK13,"✗"))</f>
        <v/>
      </c>
      <c r="GL14" s="438">
        <f>IF(GL$4=0,"",COUNTIF(GL9:GL13,"✗"))</f>
        <v/>
      </c>
      <c r="GM14" s="438">
        <f>IF(GM$4=0,"",COUNTIF(GM9:GM13,"✗"))</f>
        <v/>
      </c>
      <c r="GN14" s="438">
        <f>IF(GN$4=0,"",COUNTIF(GN9:GN13,"✗"))</f>
        <v/>
      </c>
      <c r="GO14" s="438">
        <f>IF(GO$4=0,"",COUNTIF(GO9:GO13,"✗"))</f>
        <v/>
      </c>
      <c r="GP14" s="439">
        <f>IF(GP$4=0,"",COUNTIF(GP9:GP13,"✗"))</f>
        <v/>
      </c>
      <c r="GQ14" s="438">
        <f>IF(GQ$4=0,"",COUNTIF(GQ9:GQ13,"✗"))</f>
        <v/>
      </c>
      <c r="GR14" s="438">
        <f>IF(GR$4=0,"",COUNTIF(GR9:GR13,"✗"))</f>
        <v/>
      </c>
      <c r="GS14" s="438">
        <f>IF(GS$4=0,"",COUNTIF(GS9:GS13,"✗"))</f>
        <v/>
      </c>
      <c r="GT14" s="438">
        <f>IF(GT$4=0,"",COUNTIF(GT9:GT13,"✗"))</f>
        <v/>
      </c>
      <c r="GU14" s="438">
        <f>IF(GU$4=0,"",COUNTIF(GU9:GU13,"✗"))</f>
        <v/>
      </c>
      <c r="GV14" s="438">
        <f>IF(GV$4=0,"",COUNTIF(GV9:GV13,"✗"))</f>
        <v/>
      </c>
      <c r="GW14" s="439">
        <f>IF(GW$4=0,"",COUNTIF(GW9:GW13,"✗"))</f>
        <v/>
      </c>
      <c r="GX14" s="438">
        <f>IF(GX$4=0,"",COUNTIF(GX9:GX13,"✗"))</f>
        <v/>
      </c>
      <c r="GY14" s="438">
        <f>IF(GY$4=0,"",COUNTIF(GY9:GY13,"✗"))</f>
        <v/>
      </c>
      <c r="GZ14" s="438">
        <f>IF(GZ$4=0,"",COUNTIF(GZ9:GZ13,"✗"))</f>
        <v/>
      </c>
      <c r="HA14" s="438">
        <f>IF(HA$4=0,"",COUNTIF(HA9:HA13,"✗"))</f>
        <v/>
      </c>
      <c r="HB14" s="438">
        <f>IF(HB$4=0,"",COUNTIF(HB9:HB13,"✗"))</f>
        <v/>
      </c>
      <c r="HC14" s="438">
        <f>IF(HC$4=0,"",COUNTIF(HC9:HC13,"✗"))</f>
        <v/>
      </c>
      <c r="HD14" s="439">
        <f>IF(HD$4=0,"",COUNTIF(HD9:HD13,"✗"))</f>
        <v/>
      </c>
      <c r="HE14" s="438">
        <f>IF(HE$4=0,"",COUNTIF(HE9:HE13,"✗"))</f>
        <v/>
      </c>
      <c r="HF14" s="438">
        <f>IF(HF$4=0,"",COUNTIF(HF9:HF13,"✗"))</f>
        <v/>
      </c>
      <c r="HG14" s="438">
        <f>IF(HG$4=0,"",COUNTIF(HG9:HG13,"✗"))</f>
        <v/>
      </c>
      <c r="HH14" s="438">
        <f>IF(HH$4=0,"",COUNTIF(HH9:HH13,"✗"))</f>
        <v/>
      </c>
      <c r="HI14" s="438">
        <f>IF(HI$4=0,"",COUNTIF(HI9:HI13,"✗"))</f>
        <v/>
      </c>
      <c r="HJ14" s="438">
        <f>IF(HJ$4=0,"",COUNTIF(HJ9:HJ13,"✗"))</f>
        <v/>
      </c>
      <c r="HK14" s="440">
        <f>SUM(HK9:HK13)</f>
        <v/>
      </c>
    </row>
    <row r="15"/>
    <row r="16">
      <c r="B16" s="441" t="inlineStr">
        <is>
          <t>สรุปทั้งภาคเรียน : จำนวนครั้งที่ต้องแก้ไข</t>
        </is>
      </c>
      <c r="P16" s="246" t="inlineStr">
        <is>
          <t>ลงชื่อ ........................................................</t>
        </is>
      </c>
      <c r="AD16" s="246" t="inlineStr">
        <is>
          <t>ลงชื่อ ........................................................</t>
        </is>
      </c>
    </row>
    <row r="17">
      <c r="B17" s="442" t="inlineStr">
        <is>
          <t>ผม</t>
        </is>
      </c>
      <c r="C17" s="443">
        <f>SUMPRODUCT((D$8:HK$8="ผม")*(D$9:HK$13="✗"))</f>
        <v/>
      </c>
      <c r="P17" s="246">
        <f>"( "&amp;IF('ข้อมูลโรงเรียน'!$C$9="","..................................................",'ข้อมูลโรงเรียน'!$C$9)&amp;" )"</f>
        <v/>
      </c>
      <c r="AD17" s="246">
        <f>"( "&amp;IF('ข้อมูลโรงเรียน'!$C$11="","..................................................",'ข้อมูลโรงเรียน'!$C$11)&amp;" )"</f>
        <v/>
      </c>
    </row>
    <row r="18">
      <c r="B18" s="442" t="inlineStr">
        <is>
          <t>เล็บ</t>
        </is>
      </c>
      <c r="C18" s="443">
        <f>SUMPRODUCT((D$8:HK$8="เล็บ")*(D$9:HK$13="✗"))</f>
        <v/>
      </c>
      <c r="P18" s="277" t="inlineStr">
        <is>
          <t>ครูประจำชั้น</t>
        </is>
      </c>
      <c r="AD18" s="277" t="inlineStr">
        <is>
          <t>ผู้บริหารสถานศึกษา</t>
        </is>
      </c>
    </row>
    <row r="19">
      <c r="B19" s="442" t="inlineStr">
        <is>
          <t>ฟัน</t>
        </is>
      </c>
      <c r="C19" s="443">
        <f>SUMPRODUCT((D$8:HK$8="ฟัน")*(D$9:HK$13="✗"))</f>
        <v/>
      </c>
    </row>
    <row r="20">
      <c r="B20" s="442" t="inlineStr">
        <is>
          <t>หู</t>
        </is>
      </c>
      <c r="C20" s="443">
        <f>SUMPRODUCT((D$8:HK$8="หู")*(D$9:HK$13="✗"))</f>
        <v/>
      </c>
    </row>
    <row r="21">
      <c r="B21" s="442" t="inlineStr">
        <is>
          <t>ผิวหนัง</t>
        </is>
      </c>
      <c r="C21" s="443">
        <f>SUMPRODUCT((D$8:HK$8="ผิวหนัง")*(D$9:HK$13="✗"))</f>
        <v/>
      </c>
    </row>
    <row r="22">
      <c r="B22" s="442" t="inlineStr">
        <is>
          <t>เสื้อผ้า</t>
        </is>
      </c>
      <c r="C22" s="443">
        <f>SUMPRODUCT((D$8:HK$8="เสื้อผ้า")*(D$9:HK$13="✗"))</f>
        <v/>
      </c>
    </row>
    <row r="23">
      <c r="B23" s="442" t="inlineStr">
        <is>
          <t>ร่างกาย</t>
        </is>
      </c>
      <c r="C23" s="443">
        <f>SUMPRODUCT((D$8:HK$8="ร่างกาย")*(D$9:HK$13="✗"))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76">
    <mergeCell ref="BB6:BH6"/>
    <mergeCell ref="C5:C8"/>
    <mergeCell ref="D5:AL5"/>
    <mergeCell ref="CE6:CK6"/>
    <mergeCell ref="CL6:CR6"/>
    <mergeCell ref="DO6:DU6"/>
    <mergeCell ref="FF7:FL7"/>
    <mergeCell ref="AM6:AM8"/>
    <mergeCell ref="GB7:GH7"/>
    <mergeCell ref="K7:Q7"/>
    <mergeCell ref="FT7:FZ7"/>
    <mergeCell ref="AU7:BA7"/>
    <mergeCell ref="HD6:HJ6"/>
    <mergeCell ref="AF7:AL7"/>
    <mergeCell ref="BX7:CD7"/>
    <mergeCell ref="AN7:AT7"/>
    <mergeCell ref="GW6:HC6"/>
    <mergeCell ref="DH6:DN6"/>
    <mergeCell ref="BP6:BV6"/>
    <mergeCell ref="CS6:CY6"/>
    <mergeCell ref="EJ7:EP7"/>
    <mergeCell ref="K6:Q6"/>
    <mergeCell ref="GB5:HJ5"/>
    <mergeCell ref="GA6:GA8"/>
    <mergeCell ref="GP6:GV6"/>
    <mergeCell ref="DV6:EB6"/>
    <mergeCell ref="DO7:DU7"/>
    <mergeCell ref="GW7:HC7"/>
    <mergeCell ref="BX5:DF5"/>
    <mergeCell ref="ER7:EX7"/>
    <mergeCell ref="A14:C14"/>
    <mergeCell ref="AN5:BV5"/>
    <mergeCell ref="GI7:GO7"/>
    <mergeCell ref="BB7:BH7"/>
    <mergeCell ref="AN6:AT6"/>
    <mergeCell ref="CE7:CK7"/>
    <mergeCell ref="BP7:BV7"/>
    <mergeCell ref="ER5:FZ5"/>
    <mergeCell ref="DG6:DG8"/>
    <mergeCell ref="DH7:DN7"/>
    <mergeCell ref="CZ6:DF6"/>
    <mergeCell ref="CS7:CY7"/>
    <mergeCell ref="DV7:EB7"/>
    <mergeCell ref="EJ6:EP6"/>
    <mergeCell ref="FM6:FS6"/>
    <mergeCell ref="ER6:EX6"/>
    <mergeCell ref="EC6:EI6"/>
    <mergeCell ref="D6:J6"/>
    <mergeCell ref="FF6:FL6"/>
    <mergeCell ref="HK6:HK8"/>
    <mergeCell ref="BW6:BW8"/>
    <mergeCell ref="R7:X7"/>
    <mergeCell ref="A5:A8"/>
    <mergeCell ref="DH5:EP5"/>
    <mergeCell ref="R6:X6"/>
    <mergeCell ref="BI7:BO7"/>
    <mergeCell ref="AU6:BA6"/>
    <mergeCell ref="CL7:CR7"/>
    <mergeCell ref="GI6:GO6"/>
    <mergeCell ref="B5:B8"/>
    <mergeCell ref="AF6:AL6"/>
    <mergeCell ref="HD7:HJ7"/>
    <mergeCell ref="EY7:FE7"/>
    <mergeCell ref="BX6:CD6"/>
    <mergeCell ref="EQ6:EQ8"/>
    <mergeCell ref="CZ7:DF7"/>
    <mergeCell ref="EY6:FE6"/>
    <mergeCell ref="D7:J7"/>
    <mergeCell ref="FT6:FZ6"/>
    <mergeCell ref="FM7:FS7"/>
    <mergeCell ref="GP7:GV7"/>
    <mergeCell ref="Y7:AE7"/>
    <mergeCell ref="GB6:GH6"/>
    <mergeCell ref="Y6:AE6"/>
    <mergeCell ref="BI6:BO6"/>
    <mergeCell ref="EC7:EI7"/>
  </mergeCells>
  <conditionalFormatting sqref="A9:LH13">
    <cfRule type="expression" priority="1" dxfId="0" stopIfTrue="1">
      <formula>$B9=""</formula>
    </cfRule>
  </conditionalFormatting>
  <conditionalFormatting sqref="D6:HK14">
    <cfRule type="expression" priority="2" dxfId="6" stopIfTrue="1">
      <formula>D$4=0</formula>
    </cfRule>
  </conditionalFormatting>
  <conditionalFormatting sqref="D9:HK13">
    <cfRule type="expression" priority="3" dxfId="9">
      <formula>D9="ม"</formula>
    </cfRule>
    <cfRule type="expression" priority="4" dxfId="10">
      <formula>D9="ส"</formula>
    </cfRule>
    <cfRule type="expression" priority="5" dxfId="11">
      <formula>D9="ล"</formula>
    </cfRule>
    <cfRule type="expression" priority="6" dxfId="12">
      <formula>D9="ป"</formula>
    </cfRule>
    <cfRule type="expression" priority="7" dxfId="1">
      <formula>D9="ข"</formula>
    </cfRule>
    <cfRule type="expression" priority="8" dxfId="2">
      <formula>D9="✓"</formula>
    </cfRule>
    <cfRule type="expression" priority="9" dxfId="1">
      <formula>D9="✗"</formula>
    </cfRule>
    <cfRule type="expression" priority="10" dxfId="2">
      <formula>D9="ห"</formula>
    </cfRule>
    <cfRule type="expression" priority="11" dxfId="1">
      <formula>D9="ง"</formula>
    </cfRule>
  </conditionalFormatting>
  <dataValidations count="1">
    <dataValidation sqref="D9:HK13" showDropDown="0" showInputMessage="0" showErrorMessage="0" allowBlank="1" errorTitle="ตรวจสอบข้อมูล" error="ข้อมูลไม่ถูกต้อง กรุณาเลือกจากรายการ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tabColor rgb="00F493B5"/>
    <outlinePr summaryBelow="1" summaryRight="1"/>
    <pageSetUpPr fitToPage="1"/>
  </sheetPr>
  <dimension ref="A1:GA23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1" customWidth="1" min="4" max="4"/>
    <col width="3.1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6.5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  <col width="3.1" customWidth="1" min="62" max="62"/>
    <col width="3.1" customWidth="1" min="63" max="63"/>
    <col width="3.1" customWidth="1" min="64" max="64"/>
    <col width="3.1" customWidth="1" min="65" max="65"/>
    <col width="3.1" customWidth="1" min="66" max="66"/>
    <col width="3.1" customWidth="1" min="67" max="67"/>
    <col width="3.1" customWidth="1" min="68" max="68"/>
    <col width="3.1" customWidth="1" min="69" max="69"/>
    <col width="3.1" customWidth="1" min="70" max="70"/>
    <col width="3.1" customWidth="1" min="71" max="71"/>
    <col width="3.1" customWidth="1" min="72" max="72"/>
    <col width="3.1" customWidth="1" min="73" max="73"/>
    <col width="3.1" customWidth="1" min="74" max="74"/>
    <col width="6.5" customWidth="1" min="75" max="75"/>
    <col width="3.1" customWidth="1" min="76" max="76"/>
    <col width="3.1" customWidth="1" min="77" max="77"/>
    <col width="3.1" customWidth="1" min="78" max="78"/>
    <col width="3.1" customWidth="1" min="79" max="79"/>
    <col width="3.1" customWidth="1" min="80" max="80"/>
    <col width="3.1" customWidth="1" min="81" max="81"/>
    <col width="3.1" customWidth="1" min="82" max="82"/>
    <col width="3.1" customWidth="1" min="83" max="83"/>
    <col width="3.1" customWidth="1" min="84" max="84"/>
    <col width="3.1" customWidth="1" min="85" max="85"/>
    <col width="3.1" customWidth="1" min="86" max="86"/>
    <col width="3.1" customWidth="1" min="87" max="87"/>
    <col width="3.1" customWidth="1" min="88" max="88"/>
    <col width="3.1" customWidth="1" min="89" max="89"/>
    <col width="3.1" customWidth="1" min="90" max="90"/>
    <col width="3.1" customWidth="1" min="91" max="91"/>
    <col width="3.1" customWidth="1" min="92" max="92"/>
    <col width="3.1" customWidth="1" min="93" max="93"/>
    <col width="3.1" customWidth="1" min="94" max="94"/>
    <col width="3.1" customWidth="1" min="95" max="95"/>
    <col width="3.1" customWidth="1" min="96" max="96"/>
    <col width="3.1" customWidth="1" min="97" max="97"/>
    <col width="3.1" customWidth="1" min="98" max="98"/>
    <col width="3.1" customWidth="1" min="99" max="99"/>
    <col width="3.1" customWidth="1" min="100" max="100"/>
    <col width="3.1" customWidth="1" min="101" max="101"/>
    <col width="3.1" customWidth="1" min="102" max="102"/>
    <col width="3.1" customWidth="1" min="103" max="103"/>
    <col width="3.1" customWidth="1" min="104" max="104"/>
    <col width="3.1" customWidth="1" min="105" max="105"/>
    <col width="3.1" customWidth="1" min="106" max="106"/>
    <col width="3.1" customWidth="1" min="107" max="107"/>
    <col width="3.1" customWidth="1" min="108" max="108"/>
    <col width="3.1" customWidth="1" min="109" max="109"/>
    <col width="3.1" customWidth="1" min="110" max="110"/>
    <col width="6.5" customWidth="1" min="111" max="111"/>
    <col width="3.1" customWidth="1" min="112" max="112"/>
    <col width="3.1" customWidth="1" min="113" max="113"/>
    <col width="3.1" customWidth="1" min="114" max="114"/>
    <col width="3.1" customWidth="1" min="115" max="115"/>
    <col width="3.1" customWidth="1" min="116" max="116"/>
    <col width="3.1" customWidth="1" min="117" max="117"/>
    <col width="3.1" customWidth="1" min="118" max="118"/>
    <col width="3.1" customWidth="1" min="119" max="119"/>
    <col width="3.1" customWidth="1" min="120" max="120"/>
    <col width="3.1" customWidth="1" min="121" max="121"/>
    <col width="3.1" customWidth="1" min="122" max="122"/>
    <col width="3.1" customWidth="1" min="123" max="123"/>
    <col width="3.1" customWidth="1" min="124" max="124"/>
    <col width="3.1" customWidth="1" min="125" max="125"/>
    <col width="3.1" customWidth="1" min="126" max="126"/>
    <col width="3.1" customWidth="1" min="127" max="127"/>
    <col width="3.1" customWidth="1" min="128" max="128"/>
    <col width="3.1" customWidth="1" min="129" max="129"/>
    <col width="3.1" customWidth="1" min="130" max="130"/>
    <col width="3.1" customWidth="1" min="131" max="131"/>
    <col width="3.1" customWidth="1" min="132" max="132"/>
    <col width="3.1" customWidth="1" min="133" max="133"/>
    <col width="3.1" customWidth="1" min="134" max="134"/>
    <col width="3.1" customWidth="1" min="135" max="135"/>
    <col width="3.1" customWidth="1" min="136" max="136"/>
    <col width="3.1" customWidth="1" min="137" max="137"/>
    <col width="3.1" customWidth="1" min="138" max="138"/>
    <col width="3.1" customWidth="1" min="139" max="139"/>
    <col width="3.1" customWidth="1" min="140" max="140"/>
    <col width="3.1" customWidth="1" min="141" max="141"/>
    <col width="3.1" customWidth="1" min="142" max="142"/>
    <col width="3.1" customWidth="1" min="143" max="143"/>
    <col width="3.1" customWidth="1" min="144" max="144"/>
    <col width="3.1" customWidth="1" min="145" max="145"/>
    <col width="3.1" customWidth="1" min="146" max="146"/>
    <col width="6.5" customWidth="1" min="147" max="147"/>
    <col width="3.1" customWidth="1" min="148" max="148"/>
    <col width="3.1" customWidth="1" min="149" max="149"/>
    <col width="3.1" customWidth="1" min="150" max="150"/>
    <col width="3.1" customWidth="1" min="151" max="151"/>
    <col width="3.1" customWidth="1" min="152" max="152"/>
    <col width="3.1" customWidth="1" min="153" max="153"/>
    <col width="3.1" customWidth="1" min="154" max="154"/>
    <col width="3.1" customWidth="1" min="155" max="155"/>
    <col width="3.1" customWidth="1" min="156" max="156"/>
    <col width="3.1" customWidth="1" min="157" max="157"/>
    <col width="3.1" customWidth="1" min="158" max="158"/>
    <col width="3.1" customWidth="1" min="159" max="159"/>
    <col width="3.1" customWidth="1" min="160" max="160"/>
    <col width="3.1" customWidth="1" min="161" max="161"/>
    <col width="3.1" customWidth="1" min="162" max="162"/>
    <col width="3.1" customWidth="1" min="163" max="163"/>
    <col width="3.1" customWidth="1" min="164" max="164"/>
    <col width="3.1" customWidth="1" min="165" max="165"/>
    <col width="3.1" customWidth="1" min="166" max="166"/>
    <col width="3.1" customWidth="1" min="167" max="167"/>
    <col width="3.1" customWidth="1" min="168" max="168"/>
    <col width="3.1" customWidth="1" min="169" max="169"/>
    <col width="3.1" customWidth="1" min="170" max="170"/>
    <col width="3.1" customWidth="1" min="171" max="171"/>
    <col width="3.1" customWidth="1" min="172" max="172"/>
    <col width="3.1" customWidth="1" min="173" max="173"/>
    <col width="3.1" customWidth="1" min="174" max="174"/>
    <col width="3.1" customWidth="1" min="175" max="175"/>
    <col width="3.1" customWidth="1" min="176" max="176"/>
    <col width="3.1" customWidth="1" min="177" max="177"/>
    <col width="3.1" customWidth="1" min="178" max="178"/>
    <col width="3.1" customWidth="1" min="179" max="179"/>
    <col width="3.1" customWidth="1" min="180" max="180"/>
    <col width="3.1" customWidth="1" min="181" max="181"/>
    <col width="3.1" customWidth="1" min="182" max="182"/>
    <col width="6.5" customWidth="1" min="183" max="183"/>
  </cols>
  <sheetData>
    <row r="1" ht="48" customHeight="1">
      <c r="A1" s="99" t="inlineStr">
        <is>
          <t>🏠</t>
        </is>
      </c>
      <c r="B1" s="100" t="n"/>
      <c r="C1" s="100" t="n"/>
      <c r="D1" s="100" t="n"/>
      <c r="E1" s="100" t="n"/>
      <c r="F1" s="100" t="n"/>
      <c r="G1" s="100" t="n"/>
      <c r="H1" s="100" t="n"/>
      <c r="I1" s="100" t="n"/>
      <c r="J1" s="100" t="n"/>
      <c r="K1" s="100" t="n"/>
      <c r="L1" s="100" t="n"/>
      <c r="M1" s="100" t="n"/>
      <c r="N1" s="100" t="n"/>
      <c r="O1" s="100" t="n"/>
      <c r="P1" s="100" t="n"/>
      <c r="Q1" s="100" t="n"/>
      <c r="R1" s="100" t="n"/>
      <c r="S1" s="100" t="n"/>
      <c r="T1" s="100" t="n"/>
      <c r="U1" s="100" t="n"/>
      <c r="V1" s="100" t="n"/>
      <c r="W1" s="100" t="n"/>
      <c r="X1" s="100" t="n"/>
      <c r="Y1" s="100" t="n"/>
      <c r="Z1" s="100" t="n"/>
      <c r="AA1" s="100" t="n"/>
      <c r="AB1" s="100" t="n"/>
      <c r="AC1" s="100" t="n"/>
      <c r="AD1" s="100" t="n"/>
      <c r="AE1" s="100" t="n"/>
      <c r="AF1" s="100" t="n"/>
      <c r="AG1" s="100" t="n"/>
      <c r="AH1" s="100" t="n"/>
      <c r="AI1" s="100" t="n"/>
      <c r="AJ1" s="100" t="n"/>
      <c r="AK1" s="100" t="n"/>
      <c r="AL1" s="100" t="n"/>
      <c r="AM1" s="100" t="n"/>
      <c r="AN1" s="100" t="n"/>
      <c r="AO1" s="100" t="n"/>
      <c r="AP1" s="100" t="n"/>
      <c r="AQ1" s="100" t="n"/>
      <c r="AR1" s="100" t="n"/>
      <c r="AS1" s="100" t="n"/>
      <c r="AT1" s="100" t="n"/>
      <c r="AU1" s="100" t="n"/>
      <c r="AV1" s="100" t="n"/>
      <c r="AW1" s="100" t="n"/>
      <c r="AX1" s="100" t="n"/>
      <c r="AY1" s="100" t="n"/>
      <c r="AZ1" s="100" t="n"/>
      <c r="BA1" s="100" t="n"/>
      <c r="BB1" s="100" t="n"/>
      <c r="BC1" s="100" t="n"/>
      <c r="BD1" s="100" t="n"/>
      <c r="BE1" s="100" t="n"/>
      <c r="BF1" s="100" t="n"/>
      <c r="BG1" s="100" t="n"/>
      <c r="BH1" s="100" t="n"/>
      <c r="BI1" s="100" t="n"/>
      <c r="BJ1" s="100" t="n"/>
      <c r="BK1" s="100" t="n"/>
      <c r="BL1" s="100" t="n"/>
      <c r="BM1" s="100" t="n"/>
      <c r="BN1" s="100" t="n"/>
      <c r="BO1" s="100" t="n"/>
      <c r="BP1" s="100" t="n"/>
      <c r="BQ1" s="100" t="n"/>
      <c r="BR1" s="100" t="n"/>
      <c r="BS1" s="100" t="n"/>
      <c r="BT1" s="100" t="n"/>
      <c r="BU1" s="100" t="n"/>
      <c r="BV1" s="100" t="n"/>
      <c r="BW1" s="100" t="n"/>
      <c r="BX1" s="100" t="n"/>
      <c r="BY1" s="100" t="n"/>
      <c r="BZ1" s="100" t="n"/>
      <c r="CA1" s="100" t="n"/>
      <c r="CB1" s="100" t="n"/>
      <c r="CC1" s="100" t="n"/>
      <c r="CD1" s="100" t="n"/>
      <c r="CE1" s="100" t="n"/>
      <c r="CF1" s="100" t="n"/>
      <c r="CG1" s="100" t="n"/>
      <c r="CH1" s="100" t="n"/>
      <c r="CI1" s="100" t="n"/>
      <c r="CJ1" s="100" t="n"/>
      <c r="CK1" s="100" t="n"/>
      <c r="CL1" s="100" t="n"/>
      <c r="CM1" s="100" t="n"/>
      <c r="CN1" s="100" t="n"/>
      <c r="CO1" s="100" t="n"/>
      <c r="CP1" s="100" t="n"/>
      <c r="CQ1" s="100" t="n"/>
      <c r="CR1" s="100" t="n"/>
      <c r="CS1" s="100" t="n"/>
      <c r="CT1" s="100" t="n"/>
      <c r="CU1" s="100" t="n"/>
      <c r="CV1" s="100" t="n"/>
      <c r="CW1" s="100" t="n"/>
      <c r="CX1" s="100" t="n"/>
      <c r="CY1" s="100" t="n"/>
      <c r="CZ1" s="100" t="n"/>
      <c r="DA1" s="100" t="n"/>
      <c r="DB1" s="100" t="n"/>
      <c r="DC1" s="100" t="n"/>
      <c r="DD1" s="100" t="n"/>
      <c r="DE1" s="100" t="n"/>
      <c r="DF1" s="100" t="n"/>
      <c r="DG1" s="100" t="n"/>
      <c r="DH1" s="100" t="n"/>
      <c r="DI1" s="100" t="n"/>
      <c r="DJ1" s="100" t="n"/>
      <c r="DK1" s="100" t="n"/>
      <c r="DL1" s="100" t="n"/>
      <c r="DM1" s="100" t="n"/>
      <c r="DN1" s="100" t="n"/>
      <c r="DO1" s="100" t="n"/>
      <c r="DP1" s="100" t="n"/>
      <c r="DQ1" s="100" t="n"/>
      <c r="DR1" s="100" t="n"/>
      <c r="DS1" s="100" t="n"/>
      <c r="DT1" s="100" t="n"/>
      <c r="DU1" s="100" t="n"/>
      <c r="DV1" s="100" t="n"/>
      <c r="DW1" s="100" t="n"/>
      <c r="DX1" s="100" t="n"/>
      <c r="DY1" s="100" t="n"/>
      <c r="DZ1" s="100" t="n"/>
      <c r="EA1" s="100" t="n"/>
      <c r="EB1" s="100" t="n"/>
      <c r="EC1" s="100" t="n"/>
      <c r="ED1" s="100" t="n"/>
      <c r="EE1" s="100" t="n"/>
      <c r="EF1" s="100" t="n"/>
      <c r="EG1" s="100" t="n"/>
      <c r="EH1" s="100" t="n"/>
      <c r="EI1" s="100" t="n"/>
      <c r="EJ1" s="100" t="n"/>
      <c r="EK1" s="100" t="n"/>
      <c r="EL1" s="100" t="n"/>
      <c r="EM1" s="100" t="n"/>
      <c r="EN1" s="100" t="n"/>
      <c r="EO1" s="100" t="n"/>
      <c r="EP1" s="100" t="n"/>
      <c r="EQ1" s="100" t="n"/>
      <c r="ER1" s="100" t="n"/>
      <c r="ES1" s="100" t="n"/>
      <c r="ET1" s="100" t="n"/>
      <c r="EU1" s="100" t="n"/>
      <c r="EV1" s="100" t="n"/>
      <c r="EW1" s="100" t="n"/>
      <c r="EX1" s="100" t="n"/>
      <c r="EY1" s="100" t="n"/>
      <c r="EZ1" s="100" t="n"/>
      <c r="FA1" s="100" t="n"/>
      <c r="FB1" s="100" t="n"/>
      <c r="FC1" s="100" t="n"/>
      <c r="FD1" s="100" t="n"/>
      <c r="FE1" s="100" t="n"/>
      <c r="FF1" s="100" t="n"/>
      <c r="FG1" s="100" t="n"/>
      <c r="FH1" s="100" t="n"/>
      <c r="FI1" s="100" t="n"/>
      <c r="FJ1" s="100" t="n"/>
      <c r="FK1" s="100" t="n"/>
      <c r="FL1" s="100" t="n"/>
      <c r="FM1" s="100" t="n"/>
      <c r="FN1" s="100" t="n"/>
      <c r="FO1" s="100" t="n"/>
      <c r="FP1" s="100" t="n"/>
      <c r="FQ1" s="100" t="n"/>
      <c r="FR1" s="100" t="n"/>
      <c r="FS1" s="100" t="n"/>
      <c r="FT1" s="100" t="n"/>
      <c r="FU1" s="100" t="n"/>
      <c r="FV1" s="100" t="n"/>
      <c r="FW1" s="100" t="n"/>
      <c r="FX1" s="100" t="n"/>
      <c r="FY1" s="100" t="n"/>
      <c r="FZ1" s="100" t="n"/>
      <c r="GA1" s="100" t="n"/>
    </row>
    <row r="2" ht="20" customHeight="1">
      <c r="A2" s="101" t="inlineStr">
        <is>
          <t>หน้าหลัก</t>
        </is>
      </c>
      <c r="B2" s="10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03" t="n"/>
      <c r="D2" s="103" t="n"/>
      <c r="E2" s="103" t="n"/>
      <c r="F2" s="103" t="n"/>
      <c r="G2" s="103" t="n"/>
      <c r="H2" s="103" t="n"/>
      <c r="I2" s="103" t="n"/>
      <c r="J2" s="103" t="n"/>
      <c r="K2" s="103" t="n"/>
      <c r="L2" s="103" t="n"/>
      <c r="M2" s="103" t="n"/>
      <c r="N2" s="103" t="n"/>
      <c r="O2" s="103" t="n"/>
      <c r="P2" s="103" t="n"/>
      <c r="Q2" s="103" t="n"/>
      <c r="R2" s="103" t="n"/>
      <c r="S2" s="103" t="n"/>
      <c r="T2" s="103" t="n"/>
      <c r="U2" s="103" t="n"/>
      <c r="V2" s="103" t="n"/>
      <c r="W2" s="103" t="n"/>
      <c r="X2" s="103" t="n"/>
      <c r="Y2" s="103" t="n"/>
      <c r="Z2" s="103" t="n"/>
      <c r="AA2" s="103" t="n"/>
      <c r="AB2" s="103" t="n"/>
      <c r="AC2" s="103" t="n"/>
      <c r="AD2" s="103" t="n"/>
      <c r="AE2" s="103" t="n"/>
      <c r="AF2" s="103" t="n"/>
      <c r="AG2" s="103" t="n"/>
      <c r="AH2" s="103" t="n"/>
      <c r="AI2" s="103" t="n"/>
      <c r="AJ2" s="103" t="n"/>
      <c r="AK2" s="103" t="n"/>
      <c r="AL2" s="103" t="n"/>
      <c r="AM2" s="103" t="n"/>
      <c r="AN2" s="103" t="n"/>
      <c r="AO2" s="103" t="n"/>
      <c r="AP2" s="103" t="n"/>
      <c r="AQ2" s="103" t="n"/>
      <c r="AR2" s="103" t="n"/>
      <c r="AS2" s="103" t="n"/>
      <c r="AT2" s="103" t="n"/>
      <c r="AU2" s="103" t="n"/>
      <c r="AV2" s="103" t="n"/>
      <c r="AW2" s="103" t="n"/>
      <c r="AX2" s="103" t="n"/>
      <c r="AY2" s="103" t="n"/>
      <c r="AZ2" s="103" t="n"/>
      <c r="BA2" s="103" t="n"/>
      <c r="BB2" s="103" t="n"/>
      <c r="BC2" s="103" t="n"/>
      <c r="BD2" s="103" t="n"/>
      <c r="BE2" s="103" t="n"/>
      <c r="BF2" s="103" t="n"/>
      <c r="BG2" s="103" t="n"/>
      <c r="BH2" s="103" t="n"/>
      <c r="BI2" s="103" t="n"/>
      <c r="BJ2" s="103" t="n"/>
      <c r="BK2" s="103" t="n"/>
      <c r="BL2" s="103" t="n"/>
      <c r="BM2" s="103" t="n"/>
      <c r="BN2" s="103" t="n"/>
      <c r="BO2" s="103" t="n"/>
      <c r="BP2" s="103" t="n"/>
      <c r="BQ2" s="103" t="n"/>
      <c r="BR2" s="103" t="n"/>
      <c r="BS2" s="103" t="n"/>
      <c r="BT2" s="103" t="n"/>
      <c r="BU2" s="103" t="n"/>
      <c r="BV2" s="103" t="n"/>
      <c r="BW2" s="103" t="n"/>
      <c r="BX2" s="103" t="n"/>
      <c r="BY2" s="103" t="n"/>
      <c r="BZ2" s="103" t="n"/>
      <c r="CA2" s="103" t="n"/>
      <c r="CB2" s="103" t="n"/>
      <c r="CC2" s="103" t="n"/>
      <c r="CD2" s="103" t="n"/>
      <c r="CE2" s="103" t="n"/>
      <c r="CF2" s="103" t="n"/>
      <c r="CG2" s="103" t="n"/>
      <c r="CH2" s="103" t="n"/>
      <c r="CI2" s="103" t="n"/>
      <c r="CJ2" s="103" t="n"/>
      <c r="CK2" s="103" t="n"/>
      <c r="CL2" s="103" t="n"/>
      <c r="CM2" s="103" t="n"/>
      <c r="CN2" s="103" t="n"/>
      <c r="CO2" s="103" t="n"/>
      <c r="CP2" s="103" t="n"/>
      <c r="CQ2" s="103" t="n"/>
      <c r="CR2" s="103" t="n"/>
      <c r="CS2" s="103" t="n"/>
      <c r="CT2" s="103" t="n"/>
      <c r="CU2" s="103" t="n"/>
      <c r="CV2" s="103" t="n"/>
      <c r="CW2" s="103" t="n"/>
      <c r="CX2" s="103" t="n"/>
      <c r="CY2" s="103" t="n"/>
      <c r="CZ2" s="103" t="n"/>
      <c r="DA2" s="103" t="n"/>
      <c r="DB2" s="103" t="n"/>
      <c r="DC2" s="103" t="n"/>
      <c r="DD2" s="103" t="n"/>
      <c r="DE2" s="103" t="n"/>
      <c r="DF2" s="103" t="n"/>
      <c r="DG2" s="103" t="n"/>
      <c r="DH2" s="103" t="n"/>
      <c r="DI2" s="103" t="n"/>
      <c r="DJ2" s="103" t="n"/>
      <c r="DK2" s="103" t="n"/>
      <c r="DL2" s="103" t="n"/>
      <c r="DM2" s="103" t="n"/>
      <c r="DN2" s="103" t="n"/>
      <c r="DO2" s="103" t="n"/>
      <c r="DP2" s="103" t="n"/>
      <c r="DQ2" s="103" t="n"/>
      <c r="DR2" s="103" t="n"/>
      <c r="DS2" s="103" t="n"/>
      <c r="DT2" s="103" t="n"/>
      <c r="DU2" s="103" t="n"/>
      <c r="DV2" s="103" t="n"/>
      <c r="DW2" s="103" t="n"/>
      <c r="DX2" s="103" t="n"/>
      <c r="DY2" s="103" t="n"/>
      <c r="DZ2" s="103" t="n"/>
      <c r="EA2" s="103" t="n"/>
      <c r="EB2" s="103" t="n"/>
      <c r="EC2" s="103" t="n"/>
      <c r="ED2" s="103" t="n"/>
      <c r="EE2" s="103" t="n"/>
      <c r="EF2" s="103" t="n"/>
      <c r="EG2" s="103" t="n"/>
      <c r="EH2" s="103" t="n"/>
      <c r="EI2" s="103" t="n"/>
      <c r="EJ2" s="103" t="n"/>
      <c r="EK2" s="103" t="n"/>
      <c r="EL2" s="103" t="n"/>
      <c r="EM2" s="103" t="n"/>
      <c r="EN2" s="103" t="n"/>
      <c r="EO2" s="103" t="n"/>
      <c r="EP2" s="103" t="n"/>
      <c r="EQ2" s="103" t="n"/>
      <c r="ER2" s="103" t="n"/>
      <c r="ES2" s="103" t="n"/>
      <c r="ET2" s="103" t="n"/>
      <c r="EU2" s="103" t="n"/>
      <c r="EV2" s="103" t="n"/>
      <c r="EW2" s="103" t="n"/>
      <c r="EX2" s="103" t="n"/>
      <c r="EY2" s="103" t="n"/>
      <c r="EZ2" s="103" t="n"/>
      <c r="FA2" s="103" t="n"/>
      <c r="FB2" s="103" t="n"/>
      <c r="FC2" s="103" t="n"/>
      <c r="FD2" s="103" t="n"/>
      <c r="FE2" s="103" t="n"/>
      <c r="FF2" s="103" t="n"/>
      <c r="FG2" s="103" t="n"/>
      <c r="FH2" s="103" t="n"/>
      <c r="FI2" s="103" t="n"/>
      <c r="FJ2" s="103" t="n"/>
      <c r="FK2" s="103" t="n"/>
      <c r="FL2" s="103" t="n"/>
      <c r="FM2" s="103" t="n"/>
      <c r="FN2" s="103" t="n"/>
      <c r="FO2" s="103" t="n"/>
      <c r="FP2" s="103" t="n"/>
      <c r="FQ2" s="103" t="n"/>
      <c r="FR2" s="103" t="n"/>
      <c r="FS2" s="103" t="n"/>
      <c r="FT2" s="103" t="n"/>
      <c r="FU2" s="103" t="n"/>
      <c r="FV2" s="103" t="n"/>
      <c r="FW2" s="103" t="n"/>
      <c r="FX2" s="103" t="n"/>
      <c r="FY2" s="103" t="n"/>
      <c r="FZ2" s="103" t="n"/>
      <c r="GA2" s="103" t="n"/>
    </row>
    <row r="3">
      <c r="B3" s="421" t="inlineStr">
        <is>
          <t>ตรวจทุกวันจันทร์   ✓ = ปกติ     ✗ = ต้องแก้ไข   •   ตารางท้ายหน้าสรุปจำนวนครั้งที่ต้องแก้ไขแต่ละรายการ</t>
        </is>
      </c>
    </row>
    <row r="4" hidden="1">
      <c r="D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E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F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G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H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I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J4">
        <f>IF(AND(MONTH(((DATE('ข้อมูลโรงเรียน'!$C$12-543,11,1)+MOD(1-WEEKDAY(DATE('ข้อมูลโรงเรียน'!$C$12-543,11,1),2),7))+0))=11,((DATE('ข้อมูลโรงเรียน'!$C$12-543,11,1)+MOD(1-WEEKDAY(DATE('ข้อมูลโรงเรียน'!$C$12-543,11,1),2),7))+0)&lt;='ข้อมูลโรงเรียน'!$Z$18,((DATE('ข้อมูลโรงเรียน'!$C$12-543,11,1)+MOD(1-WEEKDAY(DATE('ข้อมูลโรงเรียน'!$C$12-543,11,1),2),7))+0)+4&gt;='ข้อมูลโรงเรียน'!$Z$17),((DATE('ข้อมูลโรงเรียน'!$C$12-543,11,1)+MOD(1-WEEKDAY(DATE('ข้อมูลโรงเรียน'!$C$12-543,11,1),2),7))+0),0)</f>
        <v/>
      </c>
      <c r="K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L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M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N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O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P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Q4">
        <f>IF(AND(MONTH(((DATE('ข้อมูลโรงเรียน'!$C$12-543,11,1)+MOD(1-WEEKDAY(DATE('ข้อมูลโรงเรียน'!$C$12-543,11,1),2),7))+7))=11,((DATE('ข้อมูลโรงเรียน'!$C$12-543,11,1)+MOD(1-WEEKDAY(DATE('ข้อมูลโรงเรียน'!$C$12-543,11,1),2),7))+7)&lt;='ข้อมูลโรงเรียน'!$Z$18,((DATE('ข้อมูลโรงเรียน'!$C$12-543,11,1)+MOD(1-WEEKDAY(DATE('ข้อมูลโรงเรียน'!$C$12-543,11,1),2),7))+7)+4&gt;='ข้อมูลโรงเรียน'!$Z$17),((DATE('ข้อมูลโรงเรียน'!$C$12-543,11,1)+MOD(1-WEEKDAY(DATE('ข้อมูลโรงเรียน'!$C$12-543,11,1),2),7))+7),0)</f>
        <v/>
      </c>
      <c r="R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S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T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U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V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W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X4">
        <f>IF(AND(MONTH(((DATE('ข้อมูลโรงเรียน'!$C$12-543,11,1)+MOD(1-WEEKDAY(DATE('ข้อมูลโรงเรียน'!$C$12-543,11,1),2),7))+14))=11,((DATE('ข้อมูลโรงเรียน'!$C$12-543,11,1)+MOD(1-WEEKDAY(DATE('ข้อมูลโรงเรียน'!$C$12-543,11,1),2),7))+14)&lt;='ข้อมูลโรงเรียน'!$Z$18,((DATE('ข้อมูลโรงเรียน'!$C$12-543,11,1)+MOD(1-WEEKDAY(DATE('ข้อมูลโรงเรียน'!$C$12-543,11,1),2),7))+14)+4&gt;='ข้อมูลโรงเรียน'!$Z$17),((DATE('ข้อมูลโรงเรียน'!$C$12-543,11,1)+MOD(1-WEEKDAY(DATE('ข้อมูลโรงเรียน'!$C$12-543,11,1),2),7))+14),0)</f>
        <v/>
      </c>
      <c r="Y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Z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A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B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C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D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E4">
        <f>IF(AND(MONTH(((DATE('ข้อมูลโรงเรียน'!$C$12-543,11,1)+MOD(1-WEEKDAY(DATE('ข้อมูลโรงเรียน'!$C$12-543,11,1),2),7))+21))=11,((DATE('ข้อมูลโรงเรียน'!$C$12-543,11,1)+MOD(1-WEEKDAY(DATE('ข้อมูลโรงเรียน'!$C$12-543,11,1),2),7))+21)&lt;='ข้อมูลโรงเรียน'!$Z$18,((DATE('ข้อมูลโรงเรียน'!$C$12-543,11,1)+MOD(1-WEEKDAY(DATE('ข้อมูลโรงเรียน'!$C$12-543,11,1),2),7))+21)+4&gt;='ข้อมูลโรงเรียน'!$Z$17),((DATE('ข้อมูลโรงเรียน'!$C$12-543,11,1)+MOD(1-WEEKDAY(DATE('ข้อมูลโรงเรียน'!$C$12-543,11,1),2),7))+21),0)</f>
        <v/>
      </c>
      <c r="AF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G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H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I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J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K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L4">
        <f>IF(AND(MONTH(((DATE('ข้อมูลโรงเรียน'!$C$12-543,11,1)+MOD(1-WEEKDAY(DATE('ข้อมูลโรงเรียน'!$C$12-543,11,1),2),7))+28))=11,((DATE('ข้อมูลโรงเรียน'!$C$12-543,11,1)+MOD(1-WEEKDAY(DATE('ข้อมูลโรงเรียน'!$C$12-543,11,1),2),7))+28)&lt;='ข้อมูลโรงเรียน'!$Z$18,((DATE('ข้อมูลโรงเรียน'!$C$12-543,11,1)+MOD(1-WEEKDAY(DATE('ข้อมูลโรงเรียน'!$C$12-543,11,1),2),7))+28)+4&gt;='ข้อมูลโรงเรียน'!$Z$17),((DATE('ข้อมูลโรงเรียน'!$C$12-543,11,1)+MOD(1-WEEKDAY(DATE('ข้อมูลโรงเรียน'!$C$12-543,11,1),2),7))+28),0)</f>
        <v/>
      </c>
      <c r="AM4" t="inlineStr">
        <is>
          <t>s</t>
        </is>
      </c>
      <c r="AN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O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P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Q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R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S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T4">
        <f>IF(AND(MONTH(((DATE('ข้อมูลโรงเรียน'!$C$12-543,12,1)+MOD(1-WEEKDAY(DATE('ข้อมูลโรงเรียน'!$C$12-543,12,1),2),7))+0))=12,((DATE('ข้อมูลโรงเรียน'!$C$12-543,12,1)+MOD(1-WEEKDAY(DATE('ข้อมูลโรงเรียน'!$C$12-543,12,1),2),7))+0)&lt;='ข้อมูลโรงเรียน'!$Z$18,((DATE('ข้อมูลโรงเรียน'!$C$12-543,12,1)+MOD(1-WEEKDAY(DATE('ข้อมูลโรงเรียน'!$C$12-543,12,1),2),7))+0)+4&gt;='ข้อมูลโรงเรียน'!$Z$17),((DATE('ข้อมูลโรงเรียน'!$C$12-543,12,1)+MOD(1-WEEKDAY(DATE('ข้อมูลโรงเรียน'!$C$12-543,12,1),2),7))+0),0)</f>
        <v/>
      </c>
      <c r="AU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AV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AW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AX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AY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AZ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BA4">
        <f>IF(AND(MONTH(((DATE('ข้อมูลโรงเรียน'!$C$12-543,12,1)+MOD(1-WEEKDAY(DATE('ข้อมูลโรงเรียน'!$C$12-543,12,1),2),7))+7))=12,((DATE('ข้อมูลโรงเรียน'!$C$12-543,12,1)+MOD(1-WEEKDAY(DATE('ข้อมูลโรงเรียน'!$C$12-543,12,1),2),7))+7)&lt;='ข้อมูลโรงเรียน'!$Z$18,((DATE('ข้อมูลโรงเรียน'!$C$12-543,12,1)+MOD(1-WEEKDAY(DATE('ข้อมูลโรงเรียน'!$C$12-543,12,1),2),7))+7)+4&gt;='ข้อมูลโรงเรียน'!$Z$17),((DATE('ข้อมูลโรงเรียน'!$C$12-543,12,1)+MOD(1-WEEKDAY(DATE('ข้อมูลโรงเรียน'!$C$12-543,12,1),2),7))+7),0)</f>
        <v/>
      </c>
      <c r="BB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C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D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E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F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G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H4">
        <f>IF(AND(MONTH(((DATE('ข้อมูลโรงเรียน'!$C$12-543,12,1)+MOD(1-WEEKDAY(DATE('ข้อมูลโรงเรียน'!$C$12-543,12,1),2),7))+14))=12,((DATE('ข้อมูลโรงเรียน'!$C$12-543,12,1)+MOD(1-WEEKDAY(DATE('ข้อมูลโรงเรียน'!$C$12-543,12,1),2),7))+14)&lt;='ข้อมูลโรงเรียน'!$Z$18,((DATE('ข้อมูลโรงเรียน'!$C$12-543,12,1)+MOD(1-WEEKDAY(DATE('ข้อมูลโรงเรียน'!$C$12-543,12,1),2),7))+14)+4&gt;='ข้อมูลโรงเรียน'!$Z$17),((DATE('ข้อมูลโรงเรียน'!$C$12-543,12,1)+MOD(1-WEEKDAY(DATE('ข้อมูลโรงเรียน'!$C$12-543,12,1),2),7))+14),0)</f>
        <v/>
      </c>
      <c r="BI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J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K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L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M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N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O4">
        <f>IF(AND(MONTH(((DATE('ข้อมูลโรงเรียน'!$C$12-543,12,1)+MOD(1-WEEKDAY(DATE('ข้อมูลโรงเรียน'!$C$12-543,12,1),2),7))+21))=12,((DATE('ข้อมูลโรงเรียน'!$C$12-543,12,1)+MOD(1-WEEKDAY(DATE('ข้อมูลโรงเรียน'!$C$12-543,12,1),2),7))+21)&lt;='ข้อมูลโรงเรียน'!$Z$18,((DATE('ข้อมูลโรงเรียน'!$C$12-543,12,1)+MOD(1-WEEKDAY(DATE('ข้อมูลโรงเรียน'!$C$12-543,12,1),2),7))+21)+4&gt;='ข้อมูลโรงเรียน'!$Z$17),((DATE('ข้อมูลโรงเรียน'!$C$12-543,12,1)+MOD(1-WEEKDAY(DATE('ข้อมูลโรงเรียน'!$C$12-543,12,1),2),7))+21),0)</f>
        <v/>
      </c>
      <c r="BP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Q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R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S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T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U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V4">
        <f>IF(AND(MONTH(((DATE('ข้อมูลโรงเรียน'!$C$12-543,12,1)+MOD(1-WEEKDAY(DATE('ข้อมูลโรงเรียน'!$C$12-543,12,1),2),7))+28))=12,((DATE('ข้อมูลโรงเรียน'!$C$12-543,12,1)+MOD(1-WEEKDAY(DATE('ข้อมูลโรงเรียน'!$C$12-543,12,1),2),7))+28)&lt;='ข้อมูลโรงเรียน'!$Z$18,((DATE('ข้อมูลโรงเรียน'!$C$12-543,12,1)+MOD(1-WEEKDAY(DATE('ข้อมูลโรงเรียน'!$C$12-543,12,1),2),7))+28)+4&gt;='ข้อมูลโรงเรียน'!$Z$17),((DATE('ข้อมูลโรงเรียน'!$C$12-543,12,1)+MOD(1-WEEKDAY(DATE('ข้อมูลโรงเรียน'!$C$12-543,12,1),2),7))+28),0)</f>
        <v/>
      </c>
      <c r="BW4" t="inlineStr">
        <is>
          <t>s</t>
        </is>
      </c>
      <c r="BX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BY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BZ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CA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CB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CC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CD4">
        <f>IF(AND(MONTH(((DATE('ข้อมูลโรงเรียน'!$C$12-542,1,1)+MOD(1-WEEKDAY(DATE('ข้อมูลโรงเรียน'!$C$12-542,1,1),2),7))+0))=1,((DATE('ข้อมูลโรงเรียน'!$C$12-542,1,1)+MOD(1-WEEKDAY(DATE('ข้อมูลโรงเรียน'!$C$12-542,1,1),2),7))+0)&lt;='ข้อมูลโรงเรียน'!$Z$18,((DATE('ข้อมูลโรงเรียน'!$C$12-542,1,1)+MOD(1-WEEKDAY(DATE('ข้อมูลโรงเรียน'!$C$12-542,1,1),2),7))+0)+4&gt;='ข้อมูลโรงเรียน'!$Z$17),((DATE('ข้อมูลโรงเรียน'!$C$12-542,1,1)+MOD(1-WEEKDAY(DATE('ข้อมูลโรงเรียน'!$C$12-542,1,1),2),7))+0),0)</f>
        <v/>
      </c>
      <c r="CE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F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G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H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I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J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K4">
        <f>IF(AND(MONTH(((DATE('ข้อมูลโรงเรียน'!$C$12-542,1,1)+MOD(1-WEEKDAY(DATE('ข้อมูลโรงเรียน'!$C$12-542,1,1),2),7))+7))=1,((DATE('ข้อมูลโรงเรียน'!$C$12-542,1,1)+MOD(1-WEEKDAY(DATE('ข้อมูลโรงเรียน'!$C$12-542,1,1),2),7))+7)&lt;='ข้อมูลโรงเรียน'!$Z$18,((DATE('ข้อมูลโรงเรียน'!$C$12-542,1,1)+MOD(1-WEEKDAY(DATE('ข้อมูลโรงเรียน'!$C$12-542,1,1),2),7))+7)+4&gt;='ข้อมูลโรงเรียน'!$Z$17),((DATE('ข้อมูลโรงเรียน'!$C$12-542,1,1)+MOD(1-WEEKDAY(DATE('ข้อมูลโรงเรียน'!$C$12-542,1,1),2),7))+7),0)</f>
        <v/>
      </c>
      <c r="CL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M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N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O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P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Q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R4">
        <f>IF(AND(MONTH(((DATE('ข้อมูลโรงเรียน'!$C$12-542,1,1)+MOD(1-WEEKDAY(DATE('ข้อมูลโรงเรียน'!$C$12-542,1,1),2),7))+14))=1,((DATE('ข้อมูลโรงเรียน'!$C$12-542,1,1)+MOD(1-WEEKDAY(DATE('ข้อมูลโรงเรียน'!$C$12-542,1,1),2),7))+14)&lt;='ข้อมูลโรงเรียน'!$Z$18,((DATE('ข้อมูลโรงเรียน'!$C$12-542,1,1)+MOD(1-WEEKDAY(DATE('ข้อมูลโรงเรียน'!$C$12-542,1,1),2),7))+14)+4&gt;='ข้อมูลโรงเรียน'!$Z$17),((DATE('ข้อมูลโรงเรียน'!$C$12-542,1,1)+MOD(1-WEEKDAY(DATE('ข้อมูลโรงเรียน'!$C$12-542,1,1),2),7))+14),0)</f>
        <v/>
      </c>
      <c r="CS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T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U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V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W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X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Y4">
        <f>IF(AND(MONTH(((DATE('ข้อมูลโรงเรียน'!$C$12-542,1,1)+MOD(1-WEEKDAY(DATE('ข้อมูลโรงเรียน'!$C$12-542,1,1),2),7))+21))=1,((DATE('ข้อมูลโรงเรียน'!$C$12-542,1,1)+MOD(1-WEEKDAY(DATE('ข้อมูลโรงเรียน'!$C$12-542,1,1),2),7))+21)&lt;='ข้อมูลโรงเรียน'!$Z$18,((DATE('ข้อมูลโรงเรียน'!$C$12-542,1,1)+MOD(1-WEEKDAY(DATE('ข้อมูลโรงเรียน'!$C$12-542,1,1),2),7))+21)+4&gt;='ข้อมูลโรงเรียน'!$Z$17),((DATE('ข้อมูลโรงเรียน'!$C$12-542,1,1)+MOD(1-WEEKDAY(DATE('ข้อมูลโรงเรียน'!$C$12-542,1,1),2),7))+21),0)</f>
        <v/>
      </c>
      <c r="CZ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A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B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C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D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E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F4">
        <f>IF(AND(MONTH(((DATE('ข้อมูลโรงเรียน'!$C$12-542,1,1)+MOD(1-WEEKDAY(DATE('ข้อมูลโรงเรียน'!$C$12-542,1,1),2),7))+28))=1,((DATE('ข้อมูลโรงเรียน'!$C$12-542,1,1)+MOD(1-WEEKDAY(DATE('ข้อมูลโรงเรียน'!$C$12-542,1,1),2),7))+28)&lt;='ข้อมูลโรงเรียน'!$Z$18,((DATE('ข้อมูลโรงเรียน'!$C$12-542,1,1)+MOD(1-WEEKDAY(DATE('ข้อมูลโรงเรียน'!$C$12-542,1,1),2),7))+28)+4&gt;='ข้อมูลโรงเรียน'!$Z$17),((DATE('ข้อมูลโรงเรียน'!$C$12-542,1,1)+MOD(1-WEEKDAY(DATE('ข้อมูลโรงเรียน'!$C$12-542,1,1),2),7))+28),0)</f>
        <v/>
      </c>
      <c r="DG4" t="inlineStr">
        <is>
          <t>s</t>
        </is>
      </c>
      <c r="DH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I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J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K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L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M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N4">
        <f>IF(AND(MONTH(((DATE('ข้อมูลโรงเรียน'!$C$12-542,2,1)+MOD(1-WEEKDAY(DATE('ข้อมูลโรงเรียน'!$C$12-542,2,1),2),7))+0))=2,((DATE('ข้อมูลโรงเรียน'!$C$12-542,2,1)+MOD(1-WEEKDAY(DATE('ข้อมูลโรงเรียน'!$C$12-542,2,1),2),7))+0)&lt;='ข้อมูลโรงเรียน'!$Z$18,((DATE('ข้อมูลโรงเรียน'!$C$12-542,2,1)+MOD(1-WEEKDAY(DATE('ข้อมูลโรงเรียน'!$C$12-542,2,1),2),7))+0)+4&gt;='ข้อมูลโรงเรียน'!$Z$17),((DATE('ข้อมูลโรงเรียน'!$C$12-542,2,1)+MOD(1-WEEKDAY(DATE('ข้อมูลโรงเรียน'!$C$12-542,2,1),2),7))+0),0)</f>
        <v/>
      </c>
      <c r="DO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P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Q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R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S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T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U4">
        <f>IF(AND(MONTH(((DATE('ข้อมูลโรงเรียน'!$C$12-542,2,1)+MOD(1-WEEKDAY(DATE('ข้อมูลโรงเรียน'!$C$12-542,2,1),2),7))+7))=2,((DATE('ข้อมูลโรงเรียน'!$C$12-542,2,1)+MOD(1-WEEKDAY(DATE('ข้อมูลโรงเรียน'!$C$12-542,2,1),2),7))+7)&lt;='ข้อมูลโรงเรียน'!$Z$18,((DATE('ข้อมูลโรงเรียน'!$C$12-542,2,1)+MOD(1-WEEKDAY(DATE('ข้อมูลโรงเรียน'!$C$12-542,2,1),2),7))+7)+4&gt;='ข้อมูลโรงเรียน'!$Z$17),((DATE('ข้อมูลโรงเรียน'!$C$12-542,2,1)+MOD(1-WEEKDAY(DATE('ข้อมูลโรงเรียน'!$C$12-542,2,1),2),7))+7),0)</f>
        <v/>
      </c>
      <c r="DV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DW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DX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DY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DZ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EA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EB4">
        <f>IF(AND(MONTH(((DATE('ข้อมูลโรงเรียน'!$C$12-542,2,1)+MOD(1-WEEKDAY(DATE('ข้อมูลโรงเรียน'!$C$12-542,2,1),2),7))+14))=2,((DATE('ข้อมูลโรงเรียน'!$C$12-542,2,1)+MOD(1-WEEKDAY(DATE('ข้อมูลโรงเรียน'!$C$12-542,2,1),2),7))+14)&lt;='ข้อมูลโรงเรียน'!$Z$18,((DATE('ข้อมูลโรงเรียน'!$C$12-542,2,1)+MOD(1-WEEKDAY(DATE('ข้อมูลโรงเรียน'!$C$12-542,2,1),2),7))+14)+4&gt;='ข้อมูลโรงเรียน'!$Z$17),((DATE('ข้อมูลโรงเรียน'!$C$12-542,2,1)+MOD(1-WEEKDAY(DATE('ข้อมูลโรงเรียน'!$C$12-542,2,1),2),7))+14),0)</f>
        <v/>
      </c>
      <c r="EC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D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E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F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G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H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I4">
        <f>IF(AND(MONTH(((DATE('ข้อมูลโรงเรียน'!$C$12-542,2,1)+MOD(1-WEEKDAY(DATE('ข้อมูลโรงเรียน'!$C$12-542,2,1),2),7))+21))=2,((DATE('ข้อมูลโรงเรียน'!$C$12-542,2,1)+MOD(1-WEEKDAY(DATE('ข้อมูลโรงเรียน'!$C$12-542,2,1),2),7))+21)&lt;='ข้อมูลโรงเรียน'!$Z$18,((DATE('ข้อมูลโรงเรียน'!$C$12-542,2,1)+MOD(1-WEEKDAY(DATE('ข้อมูลโรงเรียน'!$C$12-542,2,1),2),7))+21)+4&gt;='ข้อมูลโรงเรียน'!$Z$17),((DATE('ข้อมูลโรงเรียน'!$C$12-542,2,1)+MOD(1-WEEKDAY(DATE('ข้อมูลโรงเรียน'!$C$12-542,2,1),2),7))+21),0)</f>
        <v/>
      </c>
      <c r="EJ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K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L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M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N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O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P4">
        <f>IF(AND(MONTH(((DATE('ข้อมูลโรงเรียน'!$C$12-542,2,1)+MOD(1-WEEKDAY(DATE('ข้อมูลโรงเรียน'!$C$12-542,2,1),2),7))+28))=2,((DATE('ข้อมูลโรงเรียน'!$C$12-542,2,1)+MOD(1-WEEKDAY(DATE('ข้อมูลโรงเรียน'!$C$12-542,2,1),2),7))+28)&lt;='ข้อมูลโรงเรียน'!$Z$18,((DATE('ข้อมูลโรงเรียน'!$C$12-542,2,1)+MOD(1-WEEKDAY(DATE('ข้อมูลโรงเรียน'!$C$12-542,2,1),2),7))+28)+4&gt;='ข้อมูลโรงเรียน'!$Z$17),((DATE('ข้อมูลโรงเรียน'!$C$12-542,2,1)+MOD(1-WEEKDAY(DATE('ข้อมูลโรงเรียน'!$C$12-542,2,1),2),7))+28),0)</f>
        <v/>
      </c>
      <c r="EQ4" t="inlineStr">
        <is>
          <t>s</t>
        </is>
      </c>
      <c r="ER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S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T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U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V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W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X4">
        <f>IF(AND(MONTH(((DATE('ข้อมูลโรงเรียน'!$C$12-542,3,1)+MOD(1-WEEKDAY(DATE('ข้อมูลโรงเรียน'!$C$12-542,3,1),2),7))+0))=3,((DATE('ข้อมูลโรงเรียน'!$C$12-542,3,1)+MOD(1-WEEKDAY(DATE('ข้อมูลโรงเรียน'!$C$12-542,3,1),2),7))+0)&lt;='ข้อมูลโรงเรียน'!$Z$18,((DATE('ข้อมูลโรงเรียน'!$C$12-542,3,1)+MOD(1-WEEKDAY(DATE('ข้อมูลโรงเรียน'!$C$12-542,3,1),2),7))+0)+4&gt;='ข้อมูลโรงเรียน'!$Z$17),((DATE('ข้อมูลโรงเรียน'!$C$12-542,3,1)+MOD(1-WEEKDAY(DATE('ข้อมูลโรงเรียน'!$C$12-542,3,1),2),7))+0),0)</f>
        <v/>
      </c>
      <c r="EY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EZ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A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B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C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D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E4">
        <f>IF(AND(MONTH(((DATE('ข้อมูลโรงเรียน'!$C$12-542,3,1)+MOD(1-WEEKDAY(DATE('ข้อมูลโรงเรียน'!$C$12-542,3,1),2),7))+7))=3,((DATE('ข้อมูลโรงเรียน'!$C$12-542,3,1)+MOD(1-WEEKDAY(DATE('ข้อมูลโรงเรียน'!$C$12-542,3,1),2),7))+7)&lt;='ข้อมูลโรงเรียน'!$Z$18,((DATE('ข้อมูลโรงเรียน'!$C$12-542,3,1)+MOD(1-WEEKDAY(DATE('ข้อมูลโรงเรียน'!$C$12-542,3,1),2),7))+7)+4&gt;='ข้อมูลโรงเรียน'!$Z$17),((DATE('ข้อมูลโรงเรียน'!$C$12-542,3,1)+MOD(1-WEEKDAY(DATE('ข้อมูลโรงเรียน'!$C$12-542,3,1),2),7))+7),0)</f>
        <v/>
      </c>
      <c r="FF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G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H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I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J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K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L4">
        <f>IF(AND(MONTH(((DATE('ข้อมูลโรงเรียน'!$C$12-542,3,1)+MOD(1-WEEKDAY(DATE('ข้อมูลโรงเรียน'!$C$12-542,3,1),2),7))+14))=3,((DATE('ข้อมูลโรงเรียน'!$C$12-542,3,1)+MOD(1-WEEKDAY(DATE('ข้อมูลโรงเรียน'!$C$12-542,3,1),2),7))+14)&lt;='ข้อมูลโรงเรียน'!$Z$18,((DATE('ข้อมูลโรงเรียน'!$C$12-542,3,1)+MOD(1-WEEKDAY(DATE('ข้อมูลโรงเรียน'!$C$12-542,3,1),2),7))+14)+4&gt;='ข้อมูลโรงเรียน'!$Z$17),((DATE('ข้อมูลโรงเรียน'!$C$12-542,3,1)+MOD(1-WEEKDAY(DATE('ข้อมูลโรงเรียน'!$C$12-542,3,1),2),7))+14),0)</f>
        <v/>
      </c>
      <c r="FM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N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O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P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Q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R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S4">
        <f>IF(AND(MONTH(((DATE('ข้อมูลโรงเรียน'!$C$12-542,3,1)+MOD(1-WEEKDAY(DATE('ข้อมูลโรงเรียน'!$C$12-542,3,1),2),7))+21))=3,((DATE('ข้อมูลโรงเรียน'!$C$12-542,3,1)+MOD(1-WEEKDAY(DATE('ข้อมูลโรงเรียน'!$C$12-542,3,1),2),7))+21)&lt;='ข้อมูลโรงเรียน'!$Z$18,((DATE('ข้อมูลโรงเรียน'!$C$12-542,3,1)+MOD(1-WEEKDAY(DATE('ข้อมูลโรงเรียน'!$C$12-542,3,1),2),7))+21)+4&gt;='ข้อมูลโรงเรียน'!$Z$17),((DATE('ข้อมูลโรงเรียน'!$C$12-542,3,1)+MOD(1-WEEKDAY(DATE('ข้อมูลโรงเรียน'!$C$12-542,3,1),2),7))+21),0)</f>
        <v/>
      </c>
      <c r="FT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U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V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W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X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Y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FZ4">
        <f>IF(AND(MONTH(((DATE('ข้อมูลโรงเรียน'!$C$12-542,3,1)+MOD(1-WEEKDAY(DATE('ข้อมูลโรงเรียน'!$C$12-542,3,1),2),7))+28))=3,((DATE('ข้อมูลโรงเรียน'!$C$12-542,3,1)+MOD(1-WEEKDAY(DATE('ข้อมูลโรงเรียน'!$C$12-542,3,1),2),7))+28)&lt;='ข้อมูลโรงเรียน'!$Z$18,((DATE('ข้อมูลโรงเรียน'!$C$12-542,3,1)+MOD(1-WEEKDAY(DATE('ข้อมูลโรงเรียน'!$C$12-542,3,1),2),7))+28)+4&gt;='ข้อมูลโรงเรียน'!$Z$17),((DATE('ข้อมูลโรงเรียน'!$C$12-542,3,1)+MOD(1-WEEKDAY(DATE('ข้อมูลโรงเรียน'!$C$12-542,3,1),2),7))+28),0)</f>
        <v/>
      </c>
      <c r="GA4" t="inlineStr">
        <is>
          <t>s</t>
        </is>
      </c>
    </row>
    <row r="5" ht="22" customHeight="1">
      <c r="A5" s="302" t="inlineStr">
        <is>
          <t>เลขที่</t>
        </is>
      </c>
      <c r="B5" s="302" t="inlineStr">
        <is>
          <t>ชื่อ - สกุล</t>
        </is>
      </c>
      <c r="C5" s="303" t="inlineStr">
        <is>
          <t>ต้องแก้ไข
ทั้งภาค
(ครั้ง)</t>
        </is>
      </c>
      <c r="D5" s="422">
        <f>"เดือนพฤศจิกายน  พ.ศ. "&amp;('ข้อมูลโรงเรียน'!$C$12-543+543)</f>
        <v/>
      </c>
      <c r="AM5" s="423" t="inlineStr">
        <is>
          <t>สรุป พ.ย.</t>
        </is>
      </c>
      <c r="AN5" s="422">
        <f>"เดือนธันวาคม  พ.ศ. "&amp;('ข้อมูลโรงเรียน'!$C$12-543+543)</f>
        <v/>
      </c>
      <c r="BW5" s="423" t="inlineStr">
        <is>
          <t>สรุป ธ.ค.</t>
        </is>
      </c>
      <c r="BX5" s="422">
        <f>"เดือนมกราคม  พ.ศ. "&amp;('ข้อมูลโรงเรียน'!$C$12-542+543)</f>
        <v/>
      </c>
      <c r="DG5" s="423" t="inlineStr">
        <is>
          <t>สรุป ม.ค.</t>
        </is>
      </c>
      <c r="DH5" s="422">
        <f>"เดือนกุมภาพันธ์  พ.ศ. "&amp;('ข้อมูลโรงเรียน'!$C$12-542+543)</f>
        <v/>
      </c>
      <c r="EQ5" s="423" t="inlineStr">
        <is>
          <t>สรุป ก.พ.</t>
        </is>
      </c>
      <c r="ER5" s="422">
        <f>"เดือนมีนาคม  พ.ศ. "&amp;('ข้อมูลโรงเรียน'!$C$12-542+543)</f>
        <v/>
      </c>
      <c r="GA5" s="423" t="inlineStr">
        <is>
          <t>สรุป มี.ค.</t>
        </is>
      </c>
    </row>
    <row r="6">
      <c r="D6" s="424">
        <f>IF(D4=0,"","สัปดาห์ที่ 1")</f>
        <v/>
      </c>
      <c r="K6" s="425">
        <f>IF(K4=0,"","สัปดาห์ที่ 2")</f>
        <v/>
      </c>
      <c r="R6" s="425">
        <f>IF(R4=0,"","สัปดาห์ที่ 3")</f>
        <v/>
      </c>
      <c r="Y6" s="425">
        <f>IF(Y4=0,"","สัปดาห์ที่ 4")</f>
        <v/>
      </c>
      <c r="AF6" s="425">
        <f>IF(AF4=0,"","สัปดาห์ที่ 5")</f>
        <v/>
      </c>
      <c r="AM6" s="426" t="inlineStr">
        <is>
          <t>ต้อง
แก้ไข
(ครั้ง)</t>
        </is>
      </c>
      <c r="AN6" s="424">
        <f>IF(AN4=0,"","สัปดาห์ที่ 1")</f>
        <v/>
      </c>
      <c r="AU6" s="425">
        <f>IF(AU4=0,"","สัปดาห์ที่ 2")</f>
        <v/>
      </c>
      <c r="BB6" s="425">
        <f>IF(BB4=0,"","สัปดาห์ที่ 3")</f>
        <v/>
      </c>
      <c r="BI6" s="425">
        <f>IF(BI4=0,"","สัปดาห์ที่ 4")</f>
        <v/>
      </c>
      <c r="BP6" s="425">
        <f>IF(BP4=0,"","สัปดาห์ที่ 5")</f>
        <v/>
      </c>
      <c r="BW6" s="426" t="inlineStr">
        <is>
          <t>ต้อง
แก้ไข
(ครั้ง)</t>
        </is>
      </c>
      <c r="BX6" s="424">
        <f>IF(BX4=0,"","สัปดาห์ที่ 1")</f>
        <v/>
      </c>
      <c r="CE6" s="425">
        <f>IF(CE4=0,"","สัปดาห์ที่ 2")</f>
        <v/>
      </c>
      <c r="CL6" s="425">
        <f>IF(CL4=0,"","สัปดาห์ที่ 3")</f>
        <v/>
      </c>
      <c r="CS6" s="425">
        <f>IF(CS4=0,"","สัปดาห์ที่ 4")</f>
        <v/>
      </c>
      <c r="CZ6" s="425">
        <f>IF(CZ4=0,"","สัปดาห์ที่ 5")</f>
        <v/>
      </c>
      <c r="DG6" s="426" t="inlineStr">
        <is>
          <t>ต้อง
แก้ไข
(ครั้ง)</t>
        </is>
      </c>
      <c r="DH6" s="424">
        <f>IF(DH4=0,"","สัปดาห์ที่ 1")</f>
        <v/>
      </c>
      <c r="DO6" s="425">
        <f>IF(DO4=0,"","สัปดาห์ที่ 2")</f>
        <v/>
      </c>
      <c r="DV6" s="425">
        <f>IF(DV4=0,"","สัปดาห์ที่ 3")</f>
        <v/>
      </c>
      <c r="EC6" s="425">
        <f>IF(EC4=0,"","สัปดาห์ที่ 4")</f>
        <v/>
      </c>
      <c r="EJ6" s="425">
        <f>IF(EJ4=0,"","สัปดาห์ที่ 5")</f>
        <v/>
      </c>
      <c r="EQ6" s="426" t="inlineStr">
        <is>
          <t>ต้อง
แก้ไข
(ครั้ง)</t>
        </is>
      </c>
      <c r="ER6" s="424">
        <f>IF(ER4=0,"","สัปดาห์ที่ 1")</f>
        <v/>
      </c>
      <c r="EY6" s="425">
        <f>IF(EY4=0,"","สัปดาห์ที่ 2")</f>
        <v/>
      </c>
      <c r="FF6" s="425">
        <f>IF(FF4=0,"","สัปดาห์ที่ 3")</f>
        <v/>
      </c>
      <c r="FM6" s="425">
        <f>IF(FM4=0,"","สัปดาห์ที่ 4")</f>
        <v/>
      </c>
      <c r="FT6" s="425">
        <f>IF(FT4=0,"","สัปดาห์ที่ 5")</f>
        <v/>
      </c>
      <c r="GA6" s="426" t="inlineStr">
        <is>
          <t>ต้อง
แก้ไข
(ครั้ง)</t>
        </is>
      </c>
    </row>
    <row r="7">
      <c r="D7" s="427">
        <f>IF(D4=0,"","จ. "&amp;DAY(D4)&amp;" "&amp;CHOOSE(MONTH(D4),"ม.ค.","ก.พ.","มี.ค.","เม.ย.","พ.ค.","มิ.ย.","ก.ค.","ส.ค.","ก.ย.","ต.ค.","พ.ย.","ธ.ค."))</f>
        <v/>
      </c>
      <c r="K7" s="428">
        <f>IF(K4=0,"","จ. "&amp;DAY(K4)&amp;" "&amp;CHOOSE(MONTH(K4),"ม.ค.","ก.พ.","มี.ค.","เม.ย.","พ.ค.","มิ.ย.","ก.ค.","ส.ค.","ก.ย.","ต.ค.","พ.ย.","ธ.ค."))</f>
        <v/>
      </c>
      <c r="R7" s="428">
        <f>IF(R4=0,"","จ. "&amp;DAY(R4)&amp;" "&amp;CHOOSE(MONTH(R4),"ม.ค.","ก.พ.","มี.ค.","เม.ย.","พ.ค.","มิ.ย.","ก.ค.","ส.ค.","ก.ย.","ต.ค.","พ.ย.","ธ.ค."))</f>
        <v/>
      </c>
      <c r="Y7" s="428">
        <f>IF(Y4=0,"","จ. "&amp;DAY(Y4)&amp;" "&amp;CHOOSE(MONTH(Y4),"ม.ค.","ก.พ.","มี.ค.","เม.ย.","พ.ค.","มิ.ย.","ก.ค.","ส.ค.","ก.ย.","ต.ค.","พ.ย.","ธ.ค."))</f>
        <v/>
      </c>
      <c r="AF7" s="428">
        <f>IF(AF4=0,"","จ. "&amp;DAY(AF4)&amp;" "&amp;CHOOSE(MONTH(AF4),"ม.ค.","ก.พ.","มี.ค.","เม.ย.","พ.ค.","มิ.ย.","ก.ค.","ส.ค.","ก.ย.","ต.ค.","พ.ย.","ธ.ค."))</f>
        <v/>
      </c>
      <c r="AN7" s="427">
        <f>IF(AN4=0,"","จ. "&amp;DAY(AN4)&amp;" "&amp;CHOOSE(MONTH(AN4),"ม.ค.","ก.พ.","มี.ค.","เม.ย.","พ.ค.","มิ.ย.","ก.ค.","ส.ค.","ก.ย.","ต.ค.","พ.ย.","ธ.ค."))</f>
        <v/>
      </c>
      <c r="AU7" s="428">
        <f>IF(AU4=0,"","จ. "&amp;DAY(AU4)&amp;" "&amp;CHOOSE(MONTH(AU4),"ม.ค.","ก.พ.","มี.ค.","เม.ย.","พ.ค.","มิ.ย.","ก.ค.","ส.ค.","ก.ย.","ต.ค.","พ.ย.","ธ.ค."))</f>
        <v/>
      </c>
      <c r="BB7" s="428">
        <f>IF(BB4=0,"","จ. "&amp;DAY(BB4)&amp;" "&amp;CHOOSE(MONTH(BB4),"ม.ค.","ก.พ.","มี.ค.","เม.ย.","พ.ค.","มิ.ย.","ก.ค.","ส.ค.","ก.ย.","ต.ค.","พ.ย.","ธ.ค."))</f>
        <v/>
      </c>
      <c r="BI7" s="428">
        <f>IF(BI4=0,"","จ. "&amp;DAY(BI4)&amp;" "&amp;CHOOSE(MONTH(BI4),"ม.ค.","ก.พ.","มี.ค.","เม.ย.","พ.ค.","มิ.ย.","ก.ค.","ส.ค.","ก.ย.","ต.ค.","พ.ย.","ธ.ค."))</f>
        <v/>
      </c>
      <c r="BP7" s="428">
        <f>IF(BP4=0,"","จ. "&amp;DAY(BP4)&amp;" "&amp;CHOOSE(MONTH(BP4),"ม.ค.","ก.พ.","มี.ค.","เม.ย.","พ.ค.","มิ.ย.","ก.ค.","ส.ค.","ก.ย.","ต.ค.","พ.ย.","ธ.ค."))</f>
        <v/>
      </c>
      <c r="BX7" s="427">
        <f>IF(BX4=0,"","จ. "&amp;DAY(BX4)&amp;" "&amp;CHOOSE(MONTH(BX4),"ม.ค.","ก.พ.","มี.ค.","เม.ย.","พ.ค.","มิ.ย.","ก.ค.","ส.ค.","ก.ย.","ต.ค.","พ.ย.","ธ.ค."))</f>
        <v/>
      </c>
      <c r="CE7" s="428">
        <f>IF(CE4=0,"","จ. "&amp;DAY(CE4)&amp;" "&amp;CHOOSE(MONTH(CE4),"ม.ค.","ก.พ.","มี.ค.","เม.ย.","พ.ค.","มิ.ย.","ก.ค.","ส.ค.","ก.ย.","ต.ค.","พ.ย.","ธ.ค."))</f>
        <v/>
      </c>
      <c r="CL7" s="428">
        <f>IF(CL4=0,"","จ. "&amp;DAY(CL4)&amp;" "&amp;CHOOSE(MONTH(CL4),"ม.ค.","ก.พ.","มี.ค.","เม.ย.","พ.ค.","มิ.ย.","ก.ค.","ส.ค.","ก.ย.","ต.ค.","พ.ย.","ธ.ค."))</f>
        <v/>
      </c>
      <c r="CS7" s="428">
        <f>IF(CS4=0,"","จ. "&amp;DAY(CS4)&amp;" "&amp;CHOOSE(MONTH(CS4),"ม.ค.","ก.พ.","มี.ค.","เม.ย.","พ.ค.","มิ.ย.","ก.ค.","ส.ค.","ก.ย.","ต.ค.","พ.ย.","ธ.ค."))</f>
        <v/>
      </c>
      <c r="CZ7" s="428">
        <f>IF(CZ4=0,"","จ. "&amp;DAY(CZ4)&amp;" "&amp;CHOOSE(MONTH(CZ4),"ม.ค.","ก.พ.","มี.ค.","เม.ย.","พ.ค.","มิ.ย.","ก.ค.","ส.ค.","ก.ย.","ต.ค.","พ.ย.","ธ.ค."))</f>
        <v/>
      </c>
      <c r="DH7" s="427">
        <f>IF(DH4=0,"","จ. "&amp;DAY(DH4)&amp;" "&amp;CHOOSE(MONTH(DH4),"ม.ค.","ก.พ.","มี.ค.","เม.ย.","พ.ค.","มิ.ย.","ก.ค.","ส.ค.","ก.ย.","ต.ค.","พ.ย.","ธ.ค."))</f>
        <v/>
      </c>
      <c r="DO7" s="428">
        <f>IF(DO4=0,"","จ. "&amp;DAY(DO4)&amp;" "&amp;CHOOSE(MONTH(DO4),"ม.ค.","ก.พ.","มี.ค.","เม.ย.","พ.ค.","มิ.ย.","ก.ค.","ส.ค.","ก.ย.","ต.ค.","พ.ย.","ธ.ค."))</f>
        <v/>
      </c>
      <c r="DV7" s="428">
        <f>IF(DV4=0,"","จ. "&amp;DAY(DV4)&amp;" "&amp;CHOOSE(MONTH(DV4),"ม.ค.","ก.พ.","มี.ค.","เม.ย.","พ.ค.","มิ.ย.","ก.ค.","ส.ค.","ก.ย.","ต.ค.","พ.ย.","ธ.ค."))</f>
        <v/>
      </c>
      <c r="EC7" s="428">
        <f>IF(EC4=0,"","จ. "&amp;DAY(EC4)&amp;" "&amp;CHOOSE(MONTH(EC4),"ม.ค.","ก.พ.","มี.ค.","เม.ย.","พ.ค.","มิ.ย.","ก.ค.","ส.ค.","ก.ย.","ต.ค.","พ.ย.","ธ.ค."))</f>
        <v/>
      </c>
      <c r="EJ7" s="428">
        <f>IF(EJ4=0,"","จ. "&amp;DAY(EJ4)&amp;" "&amp;CHOOSE(MONTH(EJ4),"ม.ค.","ก.พ.","มี.ค.","เม.ย.","พ.ค.","มิ.ย.","ก.ค.","ส.ค.","ก.ย.","ต.ค.","พ.ย.","ธ.ค."))</f>
        <v/>
      </c>
      <c r="ER7" s="427">
        <f>IF(ER4=0,"","จ. "&amp;DAY(ER4)&amp;" "&amp;CHOOSE(MONTH(ER4),"ม.ค.","ก.พ.","มี.ค.","เม.ย.","พ.ค.","มิ.ย.","ก.ค.","ส.ค.","ก.ย.","ต.ค.","พ.ย.","ธ.ค."))</f>
        <v/>
      </c>
      <c r="EY7" s="428">
        <f>IF(EY4=0,"","จ. "&amp;DAY(EY4)&amp;" "&amp;CHOOSE(MONTH(EY4),"ม.ค.","ก.พ.","มี.ค.","เม.ย.","พ.ค.","มิ.ย.","ก.ค.","ส.ค.","ก.ย.","ต.ค.","พ.ย.","ธ.ค."))</f>
        <v/>
      </c>
      <c r="FF7" s="428">
        <f>IF(FF4=0,"","จ. "&amp;DAY(FF4)&amp;" "&amp;CHOOSE(MONTH(FF4),"ม.ค.","ก.พ.","มี.ค.","เม.ย.","พ.ค.","มิ.ย.","ก.ค.","ส.ค.","ก.ย.","ต.ค.","พ.ย.","ธ.ค."))</f>
        <v/>
      </c>
      <c r="FM7" s="428">
        <f>IF(FM4=0,"","จ. "&amp;DAY(FM4)&amp;" "&amp;CHOOSE(MONTH(FM4),"ม.ค.","ก.พ.","มี.ค.","เม.ย.","พ.ค.","มิ.ย.","ก.ค.","ส.ค.","ก.ย.","ต.ค.","พ.ย.","ธ.ค."))</f>
        <v/>
      </c>
      <c r="FT7" s="428">
        <f>IF(FT4=0,"","จ. "&amp;DAY(FT4)&amp;" "&amp;CHOOSE(MONTH(FT4),"ม.ค.","ก.พ.","มี.ค.","เม.ย.","พ.ค.","มิ.ย.","ก.ค.","ส.ค.","ก.ย.","ต.ค.","พ.ย.","ธ.ค."))</f>
        <v/>
      </c>
    </row>
    <row r="8" ht="44" customHeight="1">
      <c r="D8" s="429" t="inlineStr">
        <is>
          <t>ผม</t>
        </is>
      </c>
      <c r="E8" s="430" t="inlineStr">
        <is>
          <t>เล็บ</t>
        </is>
      </c>
      <c r="F8" s="430" t="inlineStr">
        <is>
          <t>ฟัน</t>
        </is>
      </c>
      <c r="G8" s="430" t="inlineStr">
        <is>
          <t>หู</t>
        </is>
      </c>
      <c r="H8" s="430" t="inlineStr">
        <is>
          <t>ผิวหนัง</t>
        </is>
      </c>
      <c r="I8" s="430" t="inlineStr">
        <is>
          <t>เสื้อผ้า</t>
        </is>
      </c>
      <c r="J8" s="430" t="inlineStr">
        <is>
          <t>ร่างกาย</t>
        </is>
      </c>
      <c r="K8" s="431" t="inlineStr">
        <is>
          <t>ผม</t>
        </is>
      </c>
      <c r="L8" s="430" t="inlineStr">
        <is>
          <t>เล็บ</t>
        </is>
      </c>
      <c r="M8" s="430" t="inlineStr">
        <is>
          <t>ฟัน</t>
        </is>
      </c>
      <c r="N8" s="430" t="inlineStr">
        <is>
          <t>หู</t>
        </is>
      </c>
      <c r="O8" s="430" t="inlineStr">
        <is>
          <t>ผิวหนัง</t>
        </is>
      </c>
      <c r="P8" s="430" t="inlineStr">
        <is>
          <t>เสื้อผ้า</t>
        </is>
      </c>
      <c r="Q8" s="430" t="inlineStr">
        <is>
          <t>ร่างกาย</t>
        </is>
      </c>
      <c r="R8" s="431" t="inlineStr">
        <is>
          <t>ผม</t>
        </is>
      </c>
      <c r="S8" s="430" t="inlineStr">
        <is>
          <t>เล็บ</t>
        </is>
      </c>
      <c r="T8" s="430" t="inlineStr">
        <is>
          <t>ฟัน</t>
        </is>
      </c>
      <c r="U8" s="430" t="inlineStr">
        <is>
          <t>หู</t>
        </is>
      </c>
      <c r="V8" s="430" t="inlineStr">
        <is>
          <t>ผิวหนัง</t>
        </is>
      </c>
      <c r="W8" s="430" t="inlineStr">
        <is>
          <t>เสื้อผ้า</t>
        </is>
      </c>
      <c r="X8" s="430" t="inlineStr">
        <is>
          <t>ร่างกาย</t>
        </is>
      </c>
      <c r="Y8" s="431" t="inlineStr">
        <is>
          <t>ผม</t>
        </is>
      </c>
      <c r="Z8" s="430" t="inlineStr">
        <is>
          <t>เล็บ</t>
        </is>
      </c>
      <c r="AA8" s="430" t="inlineStr">
        <is>
          <t>ฟัน</t>
        </is>
      </c>
      <c r="AB8" s="430" t="inlineStr">
        <is>
          <t>หู</t>
        </is>
      </c>
      <c r="AC8" s="430" t="inlineStr">
        <is>
          <t>ผิวหนัง</t>
        </is>
      </c>
      <c r="AD8" s="430" t="inlineStr">
        <is>
          <t>เสื้อผ้า</t>
        </is>
      </c>
      <c r="AE8" s="430" t="inlineStr">
        <is>
          <t>ร่างกาย</t>
        </is>
      </c>
      <c r="AF8" s="431" t="inlineStr">
        <is>
          <t>ผม</t>
        </is>
      </c>
      <c r="AG8" s="430" t="inlineStr">
        <is>
          <t>เล็บ</t>
        </is>
      </c>
      <c r="AH8" s="430" t="inlineStr">
        <is>
          <t>ฟัน</t>
        </is>
      </c>
      <c r="AI8" s="430" t="inlineStr">
        <is>
          <t>หู</t>
        </is>
      </c>
      <c r="AJ8" s="430" t="inlineStr">
        <is>
          <t>ผิวหนัง</t>
        </is>
      </c>
      <c r="AK8" s="430" t="inlineStr">
        <is>
          <t>เสื้อผ้า</t>
        </is>
      </c>
      <c r="AL8" s="430" t="inlineStr">
        <is>
          <t>ร่างกาย</t>
        </is>
      </c>
      <c r="AN8" s="429" t="inlineStr">
        <is>
          <t>ผม</t>
        </is>
      </c>
      <c r="AO8" s="430" t="inlineStr">
        <is>
          <t>เล็บ</t>
        </is>
      </c>
      <c r="AP8" s="430" t="inlineStr">
        <is>
          <t>ฟัน</t>
        </is>
      </c>
      <c r="AQ8" s="430" t="inlineStr">
        <is>
          <t>หู</t>
        </is>
      </c>
      <c r="AR8" s="430" t="inlineStr">
        <is>
          <t>ผิวหนัง</t>
        </is>
      </c>
      <c r="AS8" s="430" t="inlineStr">
        <is>
          <t>เสื้อผ้า</t>
        </is>
      </c>
      <c r="AT8" s="430" t="inlineStr">
        <is>
          <t>ร่างกาย</t>
        </is>
      </c>
      <c r="AU8" s="431" t="inlineStr">
        <is>
          <t>ผม</t>
        </is>
      </c>
      <c r="AV8" s="430" t="inlineStr">
        <is>
          <t>เล็บ</t>
        </is>
      </c>
      <c r="AW8" s="430" t="inlineStr">
        <is>
          <t>ฟัน</t>
        </is>
      </c>
      <c r="AX8" s="430" t="inlineStr">
        <is>
          <t>หู</t>
        </is>
      </c>
      <c r="AY8" s="430" t="inlineStr">
        <is>
          <t>ผิวหนัง</t>
        </is>
      </c>
      <c r="AZ8" s="430" t="inlineStr">
        <is>
          <t>เสื้อผ้า</t>
        </is>
      </c>
      <c r="BA8" s="430" t="inlineStr">
        <is>
          <t>ร่างกาย</t>
        </is>
      </c>
      <c r="BB8" s="431" t="inlineStr">
        <is>
          <t>ผม</t>
        </is>
      </c>
      <c r="BC8" s="430" t="inlineStr">
        <is>
          <t>เล็บ</t>
        </is>
      </c>
      <c r="BD8" s="430" t="inlineStr">
        <is>
          <t>ฟัน</t>
        </is>
      </c>
      <c r="BE8" s="430" t="inlineStr">
        <is>
          <t>หู</t>
        </is>
      </c>
      <c r="BF8" s="430" t="inlineStr">
        <is>
          <t>ผิวหนัง</t>
        </is>
      </c>
      <c r="BG8" s="430" t="inlineStr">
        <is>
          <t>เสื้อผ้า</t>
        </is>
      </c>
      <c r="BH8" s="430" t="inlineStr">
        <is>
          <t>ร่างกาย</t>
        </is>
      </c>
      <c r="BI8" s="431" t="inlineStr">
        <is>
          <t>ผม</t>
        </is>
      </c>
      <c r="BJ8" s="430" t="inlineStr">
        <is>
          <t>เล็บ</t>
        </is>
      </c>
      <c r="BK8" s="430" t="inlineStr">
        <is>
          <t>ฟัน</t>
        </is>
      </c>
      <c r="BL8" s="430" t="inlineStr">
        <is>
          <t>หู</t>
        </is>
      </c>
      <c r="BM8" s="430" t="inlineStr">
        <is>
          <t>ผิวหนัง</t>
        </is>
      </c>
      <c r="BN8" s="430" t="inlineStr">
        <is>
          <t>เสื้อผ้า</t>
        </is>
      </c>
      <c r="BO8" s="430" t="inlineStr">
        <is>
          <t>ร่างกาย</t>
        </is>
      </c>
      <c r="BP8" s="431" t="inlineStr">
        <is>
          <t>ผม</t>
        </is>
      </c>
      <c r="BQ8" s="430" t="inlineStr">
        <is>
          <t>เล็บ</t>
        </is>
      </c>
      <c r="BR8" s="430" t="inlineStr">
        <is>
          <t>ฟัน</t>
        </is>
      </c>
      <c r="BS8" s="430" t="inlineStr">
        <is>
          <t>หู</t>
        </is>
      </c>
      <c r="BT8" s="430" t="inlineStr">
        <is>
          <t>ผิวหนัง</t>
        </is>
      </c>
      <c r="BU8" s="430" t="inlineStr">
        <is>
          <t>เสื้อผ้า</t>
        </is>
      </c>
      <c r="BV8" s="430" t="inlineStr">
        <is>
          <t>ร่างกาย</t>
        </is>
      </c>
      <c r="BX8" s="429" t="inlineStr">
        <is>
          <t>ผม</t>
        </is>
      </c>
      <c r="BY8" s="430" t="inlineStr">
        <is>
          <t>เล็บ</t>
        </is>
      </c>
      <c r="BZ8" s="430" t="inlineStr">
        <is>
          <t>ฟัน</t>
        </is>
      </c>
      <c r="CA8" s="430" t="inlineStr">
        <is>
          <t>หู</t>
        </is>
      </c>
      <c r="CB8" s="430" t="inlineStr">
        <is>
          <t>ผิวหนัง</t>
        </is>
      </c>
      <c r="CC8" s="430" t="inlineStr">
        <is>
          <t>เสื้อผ้า</t>
        </is>
      </c>
      <c r="CD8" s="430" t="inlineStr">
        <is>
          <t>ร่างกาย</t>
        </is>
      </c>
      <c r="CE8" s="431" t="inlineStr">
        <is>
          <t>ผม</t>
        </is>
      </c>
      <c r="CF8" s="430" t="inlineStr">
        <is>
          <t>เล็บ</t>
        </is>
      </c>
      <c r="CG8" s="430" t="inlineStr">
        <is>
          <t>ฟัน</t>
        </is>
      </c>
      <c r="CH8" s="430" t="inlineStr">
        <is>
          <t>หู</t>
        </is>
      </c>
      <c r="CI8" s="430" t="inlineStr">
        <is>
          <t>ผิวหนัง</t>
        </is>
      </c>
      <c r="CJ8" s="430" t="inlineStr">
        <is>
          <t>เสื้อผ้า</t>
        </is>
      </c>
      <c r="CK8" s="430" t="inlineStr">
        <is>
          <t>ร่างกาย</t>
        </is>
      </c>
      <c r="CL8" s="431" t="inlineStr">
        <is>
          <t>ผม</t>
        </is>
      </c>
      <c r="CM8" s="430" t="inlineStr">
        <is>
          <t>เล็บ</t>
        </is>
      </c>
      <c r="CN8" s="430" t="inlineStr">
        <is>
          <t>ฟัน</t>
        </is>
      </c>
      <c r="CO8" s="430" t="inlineStr">
        <is>
          <t>หู</t>
        </is>
      </c>
      <c r="CP8" s="430" t="inlineStr">
        <is>
          <t>ผิวหนัง</t>
        </is>
      </c>
      <c r="CQ8" s="430" t="inlineStr">
        <is>
          <t>เสื้อผ้า</t>
        </is>
      </c>
      <c r="CR8" s="430" t="inlineStr">
        <is>
          <t>ร่างกาย</t>
        </is>
      </c>
      <c r="CS8" s="431" t="inlineStr">
        <is>
          <t>ผม</t>
        </is>
      </c>
      <c r="CT8" s="430" t="inlineStr">
        <is>
          <t>เล็บ</t>
        </is>
      </c>
      <c r="CU8" s="430" t="inlineStr">
        <is>
          <t>ฟัน</t>
        </is>
      </c>
      <c r="CV8" s="430" t="inlineStr">
        <is>
          <t>หู</t>
        </is>
      </c>
      <c r="CW8" s="430" t="inlineStr">
        <is>
          <t>ผิวหนัง</t>
        </is>
      </c>
      <c r="CX8" s="430" t="inlineStr">
        <is>
          <t>เสื้อผ้า</t>
        </is>
      </c>
      <c r="CY8" s="430" t="inlineStr">
        <is>
          <t>ร่างกาย</t>
        </is>
      </c>
      <c r="CZ8" s="431" t="inlineStr">
        <is>
          <t>ผม</t>
        </is>
      </c>
      <c r="DA8" s="430" t="inlineStr">
        <is>
          <t>เล็บ</t>
        </is>
      </c>
      <c r="DB8" s="430" t="inlineStr">
        <is>
          <t>ฟัน</t>
        </is>
      </c>
      <c r="DC8" s="430" t="inlineStr">
        <is>
          <t>หู</t>
        </is>
      </c>
      <c r="DD8" s="430" t="inlineStr">
        <is>
          <t>ผิวหนัง</t>
        </is>
      </c>
      <c r="DE8" s="430" t="inlineStr">
        <is>
          <t>เสื้อผ้า</t>
        </is>
      </c>
      <c r="DF8" s="430" t="inlineStr">
        <is>
          <t>ร่างกาย</t>
        </is>
      </c>
      <c r="DH8" s="429" t="inlineStr">
        <is>
          <t>ผม</t>
        </is>
      </c>
      <c r="DI8" s="430" t="inlineStr">
        <is>
          <t>เล็บ</t>
        </is>
      </c>
      <c r="DJ8" s="430" t="inlineStr">
        <is>
          <t>ฟัน</t>
        </is>
      </c>
      <c r="DK8" s="430" t="inlineStr">
        <is>
          <t>หู</t>
        </is>
      </c>
      <c r="DL8" s="430" t="inlineStr">
        <is>
          <t>ผิวหนัง</t>
        </is>
      </c>
      <c r="DM8" s="430" t="inlineStr">
        <is>
          <t>เสื้อผ้า</t>
        </is>
      </c>
      <c r="DN8" s="430" t="inlineStr">
        <is>
          <t>ร่างกาย</t>
        </is>
      </c>
      <c r="DO8" s="431" t="inlineStr">
        <is>
          <t>ผม</t>
        </is>
      </c>
      <c r="DP8" s="430" t="inlineStr">
        <is>
          <t>เล็บ</t>
        </is>
      </c>
      <c r="DQ8" s="430" t="inlineStr">
        <is>
          <t>ฟัน</t>
        </is>
      </c>
      <c r="DR8" s="430" t="inlineStr">
        <is>
          <t>หู</t>
        </is>
      </c>
      <c r="DS8" s="430" t="inlineStr">
        <is>
          <t>ผิวหนัง</t>
        </is>
      </c>
      <c r="DT8" s="430" t="inlineStr">
        <is>
          <t>เสื้อผ้า</t>
        </is>
      </c>
      <c r="DU8" s="430" t="inlineStr">
        <is>
          <t>ร่างกาย</t>
        </is>
      </c>
      <c r="DV8" s="431" t="inlineStr">
        <is>
          <t>ผม</t>
        </is>
      </c>
      <c r="DW8" s="430" t="inlineStr">
        <is>
          <t>เล็บ</t>
        </is>
      </c>
      <c r="DX8" s="430" t="inlineStr">
        <is>
          <t>ฟัน</t>
        </is>
      </c>
      <c r="DY8" s="430" t="inlineStr">
        <is>
          <t>หู</t>
        </is>
      </c>
      <c r="DZ8" s="430" t="inlineStr">
        <is>
          <t>ผิวหนัง</t>
        </is>
      </c>
      <c r="EA8" s="430" t="inlineStr">
        <is>
          <t>เสื้อผ้า</t>
        </is>
      </c>
      <c r="EB8" s="430" t="inlineStr">
        <is>
          <t>ร่างกาย</t>
        </is>
      </c>
      <c r="EC8" s="431" t="inlineStr">
        <is>
          <t>ผม</t>
        </is>
      </c>
      <c r="ED8" s="430" t="inlineStr">
        <is>
          <t>เล็บ</t>
        </is>
      </c>
      <c r="EE8" s="430" t="inlineStr">
        <is>
          <t>ฟัน</t>
        </is>
      </c>
      <c r="EF8" s="430" t="inlineStr">
        <is>
          <t>หู</t>
        </is>
      </c>
      <c r="EG8" s="430" t="inlineStr">
        <is>
          <t>ผิวหนัง</t>
        </is>
      </c>
      <c r="EH8" s="430" t="inlineStr">
        <is>
          <t>เสื้อผ้า</t>
        </is>
      </c>
      <c r="EI8" s="430" t="inlineStr">
        <is>
          <t>ร่างกาย</t>
        </is>
      </c>
      <c r="EJ8" s="431" t="inlineStr">
        <is>
          <t>ผม</t>
        </is>
      </c>
      <c r="EK8" s="430" t="inlineStr">
        <is>
          <t>เล็บ</t>
        </is>
      </c>
      <c r="EL8" s="430" t="inlineStr">
        <is>
          <t>ฟัน</t>
        </is>
      </c>
      <c r="EM8" s="430" t="inlineStr">
        <is>
          <t>หู</t>
        </is>
      </c>
      <c r="EN8" s="430" t="inlineStr">
        <is>
          <t>ผิวหนัง</t>
        </is>
      </c>
      <c r="EO8" s="430" t="inlineStr">
        <is>
          <t>เสื้อผ้า</t>
        </is>
      </c>
      <c r="EP8" s="430" t="inlineStr">
        <is>
          <t>ร่างกาย</t>
        </is>
      </c>
      <c r="ER8" s="429" t="inlineStr">
        <is>
          <t>ผม</t>
        </is>
      </c>
      <c r="ES8" s="430" t="inlineStr">
        <is>
          <t>เล็บ</t>
        </is>
      </c>
      <c r="ET8" s="430" t="inlineStr">
        <is>
          <t>ฟัน</t>
        </is>
      </c>
      <c r="EU8" s="430" t="inlineStr">
        <is>
          <t>หู</t>
        </is>
      </c>
      <c r="EV8" s="430" t="inlineStr">
        <is>
          <t>ผิวหนัง</t>
        </is>
      </c>
      <c r="EW8" s="430" t="inlineStr">
        <is>
          <t>เสื้อผ้า</t>
        </is>
      </c>
      <c r="EX8" s="430" t="inlineStr">
        <is>
          <t>ร่างกาย</t>
        </is>
      </c>
      <c r="EY8" s="431" t="inlineStr">
        <is>
          <t>ผม</t>
        </is>
      </c>
      <c r="EZ8" s="430" t="inlineStr">
        <is>
          <t>เล็บ</t>
        </is>
      </c>
      <c r="FA8" s="430" t="inlineStr">
        <is>
          <t>ฟัน</t>
        </is>
      </c>
      <c r="FB8" s="430" t="inlineStr">
        <is>
          <t>หู</t>
        </is>
      </c>
      <c r="FC8" s="430" t="inlineStr">
        <is>
          <t>ผิวหนัง</t>
        </is>
      </c>
      <c r="FD8" s="430" t="inlineStr">
        <is>
          <t>เสื้อผ้า</t>
        </is>
      </c>
      <c r="FE8" s="430" t="inlineStr">
        <is>
          <t>ร่างกาย</t>
        </is>
      </c>
      <c r="FF8" s="431" t="inlineStr">
        <is>
          <t>ผม</t>
        </is>
      </c>
      <c r="FG8" s="430" t="inlineStr">
        <is>
          <t>เล็บ</t>
        </is>
      </c>
      <c r="FH8" s="430" t="inlineStr">
        <is>
          <t>ฟัน</t>
        </is>
      </c>
      <c r="FI8" s="430" t="inlineStr">
        <is>
          <t>หู</t>
        </is>
      </c>
      <c r="FJ8" s="430" t="inlineStr">
        <is>
          <t>ผิวหนัง</t>
        </is>
      </c>
      <c r="FK8" s="430" t="inlineStr">
        <is>
          <t>เสื้อผ้า</t>
        </is>
      </c>
      <c r="FL8" s="430" t="inlineStr">
        <is>
          <t>ร่างกาย</t>
        </is>
      </c>
      <c r="FM8" s="431" t="inlineStr">
        <is>
          <t>ผม</t>
        </is>
      </c>
      <c r="FN8" s="430" t="inlineStr">
        <is>
          <t>เล็บ</t>
        </is>
      </c>
      <c r="FO8" s="430" t="inlineStr">
        <is>
          <t>ฟัน</t>
        </is>
      </c>
      <c r="FP8" s="430" t="inlineStr">
        <is>
          <t>หู</t>
        </is>
      </c>
      <c r="FQ8" s="430" t="inlineStr">
        <is>
          <t>ผิวหนัง</t>
        </is>
      </c>
      <c r="FR8" s="430" t="inlineStr">
        <is>
          <t>เสื้อผ้า</t>
        </is>
      </c>
      <c r="FS8" s="430" t="inlineStr">
        <is>
          <t>ร่างกาย</t>
        </is>
      </c>
      <c r="FT8" s="431" t="inlineStr">
        <is>
          <t>ผม</t>
        </is>
      </c>
      <c r="FU8" s="430" t="inlineStr">
        <is>
          <t>เล็บ</t>
        </is>
      </c>
      <c r="FV8" s="430" t="inlineStr">
        <is>
          <t>ฟัน</t>
        </is>
      </c>
      <c r="FW8" s="430" t="inlineStr">
        <is>
          <t>หู</t>
        </is>
      </c>
      <c r="FX8" s="430" t="inlineStr">
        <is>
          <t>ผิวหนัง</t>
        </is>
      </c>
      <c r="FY8" s="430" t="inlineStr">
        <is>
          <t>เสื้อผ้า</t>
        </is>
      </c>
      <c r="FZ8" s="430" t="inlineStr">
        <is>
          <t>ร่างกาย</t>
        </is>
      </c>
    </row>
    <row r="9">
      <c r="A9" s="218" t="n">
        <v>1</v>
      </c>
      <c r="B9" s="219">
        <f>'ข้อมูลนักเรียน'!T9</f>
        <v/>
      </c>
      <c r="C9" s="432">
        <f>IF(B9="","",COUNTIF(D9:GA9,"✗"))</f>
        <v/>
      </c>
      <c r="D9" s="433" t="n"/>
      <c r="E9" s="244" t="n"/>
      <c r="F9" s="244" t="n"/>
      <c r="G9" s="244" t="n"/>
      <c r="H9" s="244" t="n"/>
      <c r="I9" s="244" t="n"/>
      <c r="J9" s="244" t="n"/>
      <c r="K9" s="434" t="n"/>
      <c r="L9" s="244" t="n"/>
      <c r="M9" s="244" t="n"/>
      <c r="N9" s="244" t="n"/>
      <c r="O9" s="244" t="n"/>
      <c r="P9" s="244" t="n"/>
      <c r="Q9" s="244" t="n"/>
      <c r="R9" s="434" t="n"/>
      <c r="S9" s="244" t="n"/>
      <c r="T9" s="244" t="n"/>
      <c r="U9" s="244" t="n"/>
      <c r="V9" s="244" t="n"/>
      <c r="W9" s="244" t="n"/>
      <c r="X9" s="244" t="n"/>
      <c r="Y9" s="434" t="n"/>
      <c r="Z9" s="244" t="n"/>
      <c r="AA9" s="244" t="n"/>
      <c r="AB9" s="244" t="n"/>
      <c r="AC9" s="244" t="n"/>
      <c r="AD9" s="244" t="n"/>
      <c r="AE9" s="244" t="n"/>
      <c r="AF9" s="434" t="n"/>
      <c r="AG9" s="244" t="n"/>
      <c r="AH9" s="244" t="n"/>
      <c r="AI9" s="244" t="n"/>
      <c r="AJ9" s="244" t="n"/>
      <c r="AK9" s="244" t="n"/>
      <c r="AL9" s="244" t="n"/>
      <c r="AM9" s="435">
        <f>IF($B9="","",COUNTIF(D9:AL9,"✗"))</f>
        <v/>
      </c>
      <c r="AN9" s="433" t="n"/>
      <c r="AO9" s="244" t="n"/>
      <c r="AP9" s="244" t="n"/>
      <c r="AQ9" s="244" t="n"/>
      <c r="AR9" s="244" t="n"/>
      <c r="AS9" s="244" t="n"/>
      <c r="AT9" s="244" t="n"/>
      <c r="AU9" s="434" t="n"/>
      <c r="AV9" s="244" t="n"/>
      <c r="AW9" s="244" t="n"/>
      <c r="AX9" s="244" t="n"/>
      <c r="AY9" s="244" t="n"/>
      <c r="AZ9" s="244" t="n"/>
      <c r="BA9" s="244" t="n"/>
      <c r="BB9" s="434" t="n"/>
      <c r="BC9" s="244" t="n"/>
      <c r="BD9" s="244" t="n"/>
      <c r="BE9" s="244" t="n"/>
      <c r="BF9" s="244" t="n"/>
      <c r="BG9" s="244" t="n"/>
      <c r="BH9" s="244" t="n"/>
      <c r="BI9" s="434" t="n"/>
      <c r="BJ9" s="244" t="n"/>
      <c r="BK9" s="244" t="n"/>
      <c r="BL9" s="244" t="n"/>
      <c r="BM9" s="244" t="n"/>
      <c r="BN9" s="244" t="n"/>
      <c r="BO9" s="244" t="n"/>
      <c r="BP9" s="434" t="n"/>
      <c r="BQ9" s="244" t="n"/>
      <c r="BR9" s="244" t="n"/>
      <c r="BS9" s="244" t="n"/>
      <c r="BT9" s="244" t="n"/>
      <c r="BU9" s="244" t="n"/>
      <c r="BV9" s="244" t="n"/>
      <c r="BW9" s="435">
        <f>IF($B9="","",COUNTIF(AN9:BV9,"✗"))</f>
        <v/>
      </c>
      <c r="BX9" s="433" t="n"/>
      <c r="BY9" s="244" t="n"/>
      <c r="BZ9" s="244" t="n"/>
      <c r="CA9" s="244" t="n"/>
      <c r="CB9" s="244" t="n"/>
      <c r="CC9" s="244" t="n"/>
      <c r="CD9" s="244" t="n"/>
      <c r="CE9" s="434" t="n"/>
      <c r="CF9" s="244" t="n"/>
      <c r="CG9" s="244" t="n"/>
      <c r="CH9" s="244" t="n"/>
      <c r="CI9" s="244" t="n"/>
      <c r="CJ9" s="244" t="n"/>
      <c r="CK9" s="244" t="n"/>
      <c r="CL9" s="434" t="n"/>
      <c r="CM9" s="244" t="n"/>
      <c r="CN9" s="244" t="n"/>
      <c r="CO9" s="244" t="n"/>
      <c r="CP9" s="244" t="n"/>
      <c r="CQ9" s="244" t="n"/>
      <c r="CR9" s="244" t="n"/>
      <c r="CS9" s="434" t="n"/>
      <c r="CT9" s="244" t="n"/>
      <c r="CU9" s="244" t="n"/>
      <c r="CV9" s="244" t="n"/>
      <c r="CW9" s="244" t="n"/>
      <c r="CX9" s="244" t="n"/>
      <c r="CY9" s="244" t="n"/>
      <c r="CZ9" s="434" t="n"/>
      <c r="DA9" s="244" t="n"/>
      <c r="DB9" s="244" t="n"/>
      <c r="DC9" s="244" t="n"/>
      <c r="DD9" s="244" t="n"/>
      <c r="DE9" s="244" t="n"/>
      <c r="DF9" s="244" t="n"/>
      <c r="DG9" s="435">
        <f>IF($B9="","",COUNTIF(BX9:DF9,"✗"))</f>
        <v/>
      </c>
      <c r="DH9" s="433" t="n"/>
      <c r="DI9" s="244" t="n"/>
      <c r="DJ9" s="244" t="n"/>
      <c r="DK9" s="244" t="n"/>
      <c r="DL9" s="244" t="n"/>
      <c r="DM9" s="244" t="n"/>
      <c r="DN9" s="244" t="n"/>
      <c r="DO9" s="434" t="n"/>
      <c r="DP9" s="244" t="n"/>
      <c r="DQ9" s="244" t="n"/>
      <c r="DR9" s="244" t="n"/>
      <c r="DS9" s="244" t="n"/>
      <c r="DT9" s="244" t="n"/>
      <c r="DU9" s="244" t="n"/>
      <c r="DV9" s="434" t="n"/>
      <c r="DW9" s="244" t="n"/>
      <c r="DX9" s="244" t="n"/>
      <c r="DY9" s="244" t="n"/>
      <c r="DZ9" s="244" t="n"/>
      <c r="EA9" s="244" t="n"/>
      <c r="EB9" s="244" t="n"/>
      <c r="EC9" s="434" t="n"/>
      <c r="ED9" s="244" t="n"/>
      <c r="EE9" s="244" t="n"/>
      <c r="EF9" s="244" t="n"/>
      <c r="EG9" s="244" t="n"/>
      <c r="EH9" s="244" t="n"/>
      <c r="EI9" s="244" t="n"/>
      <c r="EJ9" s="434" t="n"/>
      <c r="EK9" s="244" t="n"/>
      <c r="EL9" s="244" t="n"/>
      <c r="EM9" s="244" t="n"/>
      <c r="EN9" s="244" t="n"/>
      <c r="EO9" s="244" t="n"/>
      <c r="EP9" s="244" t="n"/>
      <c r="EQ9" s="435">
        <f>IF($B9="","",COUNTIF(DH9:EP9,"✗"))</f>
        <v/>
      </c>
      <c r="ER9" s="433" t="n"/>
      <c r="ES9" s="244" t="n"/>
      <c r="ET9" s="244" t="n"/>
      <c r="EU9" s="244" t="n"/>
      <c r="EV9" s="244" t="n"/>
      <c r="EW9" s="244" t="n"/>
      <c r="EX9" s="244" t="n"/>
      <c r="EY9" s="434" t="n"/>
      <c r="EZ9" s="244" t="n"/>
      <c r="FA9" s="244" t="n"/>
      <c r="FB9" s="244" t="n"/>
      <c r="FC9" s="244" t="n"/>
      <c r="FD9" s="244" t="n"/>
      <c r="FE9" s="244" t="n"/>
      <c r="FF9" s="434" t="n"/>
      <c r="FG9" s="244" t="n"/>
      <c r="FH9" s="244" t="n"/>
      <c r="FI9" s="244" t="n"/>
      <c r="FJ9" s="244" t="n"/>
      <c r="FK9" s="244" t="n"/>
      <c r="FL9" s="244" t="n"/>
      <c r="FM9" s="434" t="n"/>
      <c r="FN9" s="244" t="n"/>
      <c r="FO9" s="244" t="n"/>
      <c r="FP9" s="244" t="n"/>
      <c r="FQ9" s="244" t="n"/>
      <c r="FR9" s="244" t="n"/>
      <c r="FS9" s="244" t="n"/>
      <c r="FT9" s="434" t="n"/>
      <c r="FU9" s="244" t="n"/>
      <c r="FV9" s="244" t="n"/>
      <c r="FW9" s="244" t="n"/>
      <c r="FX9" s="244" t="n"/>
      <c r="FY9" s="244" t="n"/>
      <c r="FZ9" s="244" t="n"/>
      <c r="GA9" s="435">
        <f>IF($B9="","",COUNTIF(ER9:FZ9,"✗"))</f>
        <v/>
      </c>
    </row>
    <row r="10">
      <c r="A10" s="226" t="n">
        <v>2</v>
      </c>
      <c r="B10" s="227">
        <f>'ข้อมูลนักเรียน'!T10</f>
        <v/>
      </c>
      <c r="C10" s="432">
        <f>IF(B10="","",COUNTIF(D10:GA10,"✗"))</f>
        <v/>
      </c>
      <c r="D10" s="433" t="n"/>
      <c r="E10" s="244" t="n"/>
      <c r="F10" s="244" t="n"/>
      <c r="G10" s="244" t="n"/>
      <c r="H10" s="244" t="n"/>
      <c r="I10" s="244" t="n"/>
      <c r="J10" s="244" t="n"/>
      <c r="K10" s="434" t="n"/>
      <c r="L10" s="244" t="n"/>
      <c r="M10" s="244" t="n"/>
      <c r="N10" s="244" t="n"/>
      <c r="O10" s="244" t="n"/>
      <c r="P10" s="244" t="n"/>
      <c r="Q10" s="244" t="n"/>
      <c r="R10" s="434" t="n"/>
      <c r="S10" s="244" t="n"/>
      <c r="T10" s="244" t="n"/>
      <c r="U10" s="244" t="n"/>
      <c r="V10" s="244" t="n"/>
      <c r="W10" s="244" t="n"/>
      <c r="X10" s="244" t="n"/>
      <c r="Y10" s="434" t="n"/>
      <c r="Z10" s="244" t="n"/>
      <c r="AA10" s="244" t="n"/>
      <c r="AB10" s="244" t="n"/>
      <c r="AC10" s="244" t="n"/>
      <c r="AD10" s="244" t="n"/>
      <c r="AE10" s="244" t="n"/>
      <c r="AF10" s="434" t="n"/>
      <c r="AG10" s="244" t="n"/>
      <c r="AH10" s="244" t="n"/>
      <c r="AI10" s="244" t="n"/>
      <c r="AJ10" s="244" t="n"/>
      <c r="AK10" s="244" t="n"/>
      <c r="AL10" s="244" t="n"/>
      <c r="AM10" s="435">
        <f>IF($B10="","",COUNTIF(D10:AL10,"✗"))</f>
        <v/>
      </c>
      <c r="AN10" s="433" t="n"/>
      <c r="AO10" s="244" t="n"/>
      <c r="AP10" s="244" t="n"/>
      <c r="AQ10" s="244" t="n"/>
      <c r="AR10" s="244" t="n"/>
      <c r="AS10" s="244" t="n"/>
      <c r="AT10" s="244" t="n"/>
      <c r="AU10" s="434" t="n"/>
      <c r="AV10" s="244" t="n"/>
      <c r="AW10" s="244" t="n"/>
      <c r="AX10" s="244" t="n"/>
      <c r="AY10" s="244" t="n"/>
      <c r="AZ10" s="244" t="n"/>
      <c r="BA10" s="244" t="n"/>
      <c r="BB10" s="434" t="n"/>
      <c r="BC10" s="244" t="n"/>
      <c r="BD10" s="244" t="n"/>
      <c r="BE10" s="244" t="n"/>
      <c r="BF10" s="244" t="n"/>
      <c r="BG10" s="244" t="n"/>
      <c r="BH10" s="244" t="n"/>
      <c r="BI10" s="434" t="n"/>
      <c r="BJ10" s="244" t="n"/>
      <c r="BK10" s="244" t="n"/>
      <c r="BL10" s="244" t="n"/>
      <c r="BM10" s="244" t="n"/>
      <c r="BN10" s="244" t="n"/>
      <c r="BO10" s="244" t="n"/>
      <c r="BP10" s="434" t="n"/>
      <c r="BQ10" s="244" t="n"/>
      <c r="BR10" s="244" t="n"/>
      <c r="BS10" s="244" t="n"/>
      <c r="BT10" s="244" t="n"/>
      <c r="BU10" s="244" t="n"/>
      <c r="BV10" s="244" t="n"/>
      <c r="BW10" s="435">
        <f>IF($B10="","",COUNTIF(AN10:BV10,"✗"))</f>
        <v/>
      </c>
      <c r="BX10" s="433" t="n"/>
      <c r="BY10" s="244" t="n"/>
      <c r="BZ10" s="244" t="n"/>
      <c r="CA10" s="244" t="n"/>
      <c r="CB10" s="244" t="n"/>
      <c r="CC10" s="244" t="n"/>
      <c r="CD10" s="244" t="n"/>
      <c r="CE10" s="434" t="n"/>
      <c r="CF10" s="244" t="n"/>
      <c r="CG10" s="244" t="n"/>
      <c r="CH10" s="244" t="n"/>
      <c r="CI10" s="244" t="n"/>
      <c r="CJ10" s="244" t="n"/>
      <c r="CK10" s="244" t="n"/>
      <c r="CL10" s="434" t="n"/>
      <c r="CM10" s="244" t="n"/>
      <c r="CN10" s="244" t="n"/>
      <c r="CO10" s="244" t="n"/>
      <c r="CP10" s="244" t="n"/>
      <c r="CQ10" s="244" t="n"/>
      <c r="CR10" s="244" t="n"/>
      <c r="CS10" s="434" t="n"/>
      <c r="CT10" s="244" t="n"/>
      <c r="CU10" s="244" t="n"/>
      <c r="CV10" s="244" t="n"/>
      <c r="CW10" s="244" t="n"/>
      <c r="CX10" s="244" t="n"/>
      <c r="CY10" s="244" t="n"/>
      <c r="CZ10" s="434" t="n"/>
      <c r="DA10" s="244" t="n"/>
      <c r="DB10" s="244" t="n"/>
      <c r="DC10" s="244" t="n"/>
      <c r="DD10" s="244" t="n"/>
      <c r="DE10" s="244" t="n"/>
      <c r="DF10" s="244" t="n"/>
      <c r="DG10" s="435">
        <f>IF($B10="","",COUNTIF(BX10:DF10,"✗"))</f>
        <v/>
      </c>
      <c r="DH10" s="433" t="n"/>
      <c r="DI10" s="244" t="n"/>
      <c r="DJ10" s="244" t="n"/>
      <c r="DK10" s="244" t="n"/>
      <c r="DL10" s="244" t="n"/>
      <c r="DM10" s="244" t="n"/>
      <c r="DN10" s="244" t="n"/>
      <c r="DO10" s="434" t="n"/>
      <c r="DP10" s="244" t="n"/>
      <c r="DQ10" s="244" t="n"/>
      <c r="DR10" s="244" t="n"/>
      <c r="DS10" s="244" t="n"/>
      <c r="DT10" s="244" t="n"/>
      <c r="DU10" s="244" t="n"/>
      <c r="DV10" s="434" t="n"/>
      <c r="DW10" s="244" t="n"/>
      <c r="DX10" s="244" t="n"/>
      <c r="DY10" s="244" t="n"/>
      <c r="DZ10" s="244" t="n"/>
      <c r="EA10" s="244" t="n"/>
      <c r="EB10" s="244" t="n"/>
      <c r="EC10" s="434" t="n"/>
      <c r="ED10" s="244" t="n"/>
      <c r="EE10" s="244" t="n"/>
      <c r="EF10" s="244" t="n"/>
      <c r="EG10" s="244" t="n"/>
      <c r="EH10" s="244" t="n"/>
      <c r="EI10" s="244" t="n"/>
      <c r="EJ10" s="434" t="n"/>
      <c r="EK10" s="244" t="n"/>
      <c r="EL10" s="244" t="n"/>
      <c r="EM10" s="244" t="n"/>
      <c r="EN10" s="244" t="n"/>
      <c r="EO10" s="244" t="n"/>
      <c r="EP10" s="244" t="n"/>
      <c r="EQ10" s="435">
        <f>IF($B10="","",COUNTIF(DH10:EP10,"✗"))</f>
        <v/>
      </c>
      <c r="ER10" s="433" t="n"/>
      <c r="ES10" s="244" t="n"/>
      <c r="ET10" s="244" t="n"/>
      <c r="EU10" s="244" t="n"/>
      <c r="EV10" s="244" t="n"/>
      <c r="EW10" s="244" t="n"/>
      <c r="EX10" s="244" t="n"/>
      <c r="EY10" s="434" t="n"/>
      <c r="EZ10" s="244" t="n"/>
      <c r="FA10" s="244" t="n"/>
      <c r="FB10" s="244" t="n"/>
      <c r="FC10" s="244" t="n"/>
      <c r="FD10" s="244" t="n"/>
      <c r="FE10" s="244" t="n"/>
      <c r="FF10" s="434" t="n"/>
      <c r="FG10" s="244" t="n"/>
      <c r="FH10" s="244" t="n"/>
      <c r="FI10" s="244" t="n"/>
      <c r="FJ10" s="244" t="n"/>
      <c r="FK10" s="244" t="n"/>
      <c r="FL10" s="244" t="n"/>
      <c r="FM10" s="434" t="n"/>
      <c r="FN10" s="244" t="n"/>
      <c r="FO10" s="244" t="n"/>
      <c r="FP10" s="244" t="n"/>
      <c r="FQ10" s="244" t="n"/>
      <c r="FR10" s="244" t="n"/>
      <c r="FS10" s="244" t="n"/>
      <c r="FT10" s="434" t="n"/>
      <c r="FU10" s="244" t="n"/>
      <c r="FV10" s="244" t="n"/>
      <c r="FW10" s="244" t="n"/>
      <c r="FX10" s="244" t="n"/>
      <c r="FY10" s="244" t="n"/>
      <c r="FZ10" s="244" t="n"/>
      <c r="GA10" s="435">
        <f>IF($B10="","",COUNTIF(ER10:FZ10,"✗"))</f>
        <v/>
      </c>
    </row>
    <row r="11">
      <c r="A11" s="218" t="n">
        <v>3</v>
      </c>
      <c r="B11" s="219">
        <f>'ข้อมูลนักเรียน'!T11</f>
        <v/>
      </c>
      <c r="C11" s="432">
        <f>IF(B11="","",COUNTIF(D11:GA11,"✗"))</f>
        <v/>
      </c>
      <c r="D11" s="433" t="n"/>
      <c r="E11" s="244" t="n"/>
      <c r="F11" s="244" t="n"/>
      <c r="G11" s="244" t="n"/>
      <c r="H11" s="244" t="n"/>
      <c r="I11" s="244" t="n"/>
      <c r="J11" s="244" t="n"/>
      <c r="K11" s="434" t="n"/>
      <c r="L11" s="244" t="n"/>
      <c r="M11" s="244" t="n"/>
      <c r="N11" s="244" t="n"/>
      <c r="O11" s="244" t="n"/>
      <c r="P11" s="244" t="n"/>
      <c r="Q11" s="244" t="n"/>
      <c r="R11" s="434" t="n"/>
      <c r="S11" s="244" t="n"/>
      <c r="T11" s="244" t="n"/>
      <c r="U11" s="244" t="n"/>
      <c r="V11" s="244" t="n"/>
      <c r="W11" s="244" t="n"/>
      <c r="X11" s="244" t="n"/>
      <c r="Y11" s="434" t="n"/>
      <c r="Z11" s="244" t="n"/>
      <c r="AA11" s="244" t="n"/>
      <c r="AB11" s="244" t="n"/>
      <c r="AC11" s="244" t="n"/>
      <c r="AD11" s="244" t="n"/>
      <c r="AE11" s="244" t="n"/>
      <c r="AF11" s="434" t="n"/>
      <c r="AG11" s="244" t="n"/>
      <c r="AH11" s="244" t="n"/>
      <c r="AI11" s="244" t="n"/>
      <c r="AJ11" s="244" t="n"/>
      <c r="AK11" s="244" t="n"/>
      <c r="AL11" s="244" t="n"/>
      <c r="AM11" s="435">
        <f>IF($B11="","",COUNTIF(D11:AL11,"✗"))</f>
        <v/>
      </c>
      <c r="AN11" s="433" t="n"/>
      <c r="AO11" s="244" t="n"/>
      <c r="AP11" s="244" t="n"/>
      <c r="AQ11" s="244" t="n"/>
      <c r="AR11" s="244" t="n"/>
      <c r="AS11" s="244" t="n"/>
      <c r="AT11" s="244" t="n"/>
      <c r="AU11" s="434" t="n"/>
      <c r="AV11" s="244" t="n"/>
      <c r="AW11" s="244" t="n"/>
      <c r="AX11" s="244" t="n"/>
      <c r="AY11" s="244" t="n"/>
      <c r="AZ11" s="244" t="n"/>
      <c r="BA11" s="244" t="n"/>
      <c r="BB11" s="434" t="n"/>
      <c r="BC11" s="244" t="n"/>
      <c r="BD11" s="244" t="n"/>
      <c r="BE11" s="244" t="n"/>
      <c r="BF11" s="244" t="n"/>
      <c r="BG11" s="244" t="n"/>
      <c r="BH11" s="244" t="n"/>
      <c r="BI11" s="434" t="n"/>
      <c r="BJ11" s="244" t="n"/>
      <c r="BK11" s="244" t="n"/>
      <c r="BL11" s="244" t="n"/>
      <c r="BM11" s="244" t="n"/>
      <c r="BN11" s="244" t="n"/>
      <c r="BO11" s="244" t="n"/>
      <c r="BP11" s="434" t="n"/>
      <c r="BQ11" s="244" t="n"/>
      <c r="BR11" s="244" t="n"/>
      <c r="BS11" s="244" t="n"/>
      <c r="BT11" s="244" t="n"/>
      <c r="BU11" s="244" t="n"/>
      <c r="BV11" s="244" t="n"/>
      <c r="BW11" s="435">
        <f>IF($B11="","",COUNTIF(AN11:BV11,"✗"))</f>
        <v/>
      </c>
      <c r="BX11" s="433" t="n"/>
      <c r="BY11" s="244" t="n"/>
      <c r="BZ11" s="244" t="n"/>
      <c r="CA11" s="244" t="n"/>
      <c r="CB11" s="244" t="n"/>
      <c r="CC11" s="244" t="n"/>
      <c r="CD11" s="244" t="n"/>
      <c r="CE11" s="434" t="n"/>
      <c r="CF11" s="244" t="n"/>
      <c r="CG11" s="244" t="n"/>
      <c r="CH11" s="244" t="n"/>
      <c r="CI11" s="244" t="n"/>
      <c r="CJ11" s="244" t="n"/>
      <c r="CK11" s="244" t="n"/>
      <c r="CL11" s="434" t="n"/>
      <c r="CM11" s="244" t="n"/>
      <c r="CN11" s="244" t="n"/>
      <c r="CO11" s="244" t="n"/>
      <c r="CP11" s="244" t="n"/>
      <c r="CQ11" s="244" t="n"/>
      <c r="CR11" s="244" t="n"/>
      <c r="CS11" s="434" t="n"/>
      <c r="CT11" s="244" t="n"/>
      <c r="CU11" s="244" t="n"/>
      <c r="CV11" s="244" t="n"/>
      <c r="CW11" s="244" t="n"/>
      <c r="CX11" s="244" t="n"/>
      <c r="CY11" s="244" t="n"/>
      <c r="CZ11" s="434" t="n"/>
      <c r="DA11" s="244" t="n"/>
      <c r="DB11" s="244" t="n"/>
      <c r="DC11" s="244" t="n"/>
      <c r="DD11" s="244" t="n"/>
      <c r="DE11" s="244" t="n"/>
      <c r="DF11" s="244" t="n"/>
      <c r="DG11" s="435">
        <f>IF($B11="","",COUNTIF(BX11:DF11,"✗"))</f>
        <v/>
      </c>
      <c r="DH11" s="433" t="n"/>
      <c r="DI11" s="244" t="n"/>
      <c r="DJ11" s="244" t="n"/>
      <c r="DK11" s="244" t="n"/>
      <c r="DL11" s="244" t="n"/>
      <c r="DM11" s="244" t="n"/>
      <c r="DN11" s="244" t="n"/>
      <c r="DO11" s="434" t="n"/>
      <c r="DP11" s="244" t="n"/>
      <c r="DQ11" s="244" t="n"/>
      <c r="DR11" s="244" t="n"/>
      <c r="DS11" s="244" t="n"/>
      <c r="DT11" s="244" t="n"/>
      <c r="DU11" s="244" t="n"/>
      <c r="DV11" s="434" t="n"/>
      <c r="DW11" s="244" t="n"/>
      <c r="DX11" s="244" t="n"/>
      <c r="DY11" s="244" t="n"/>
      <c r="DZ11" s="244" t="n"/>
      <c r="EA11" s="244" t="n"/>
      <c r="EB11" s="244" t="n"/>
      <c r="EC11" s="434" t="n"/>
      <c r="ED11" s="244" t="n"/>
      <c r="EE11" s="244" t="n"/>
      <c r="EF11" s="244" t="n"/>
      <c r="EG11" s="244" t="n"/>
      <c r="EH11" s="244" t="n"/>
      <c r="EI11" s="244" t="n"/>
      <c r="EJ11" s="434" t="n"/>
      <c r="EK11" s="244" t="n"/>
      <c r="EL11" s="244" t="n"/>
      <c r="EM11" s="244" t="n"/>
      <c r="EN11" s="244" t="n"/>
      <c r="EO11" s="244" t="n"/>
      <c r="EP11" s="244" t="n"/>
      <c r="EQ11" s="435">
        <f>IF($B11="","",COUNTIF(DH11:EP11,"✗"))</f>
        <v/>
      </c>
      <c r="ER11" s="433" t="n"/>
      <c r="ES11" s="244" t="n"/>
      <c r="ET11" s="244" t="n"/>
      <c r="EU11" s="244" t="n"/>
      <c r="EV11" s="244" t="n"/>
      <c r="EW11" s="244" t="n"/>
      <c r="EX11" s="244" t="n"/>
      <c r="EY11" s="434" t="n"/>
      <c r="EZ11" s="244" t="n"/>
      <c r="FA11" s="244" t="n"/>
      <c r="FB11" s="244" t="n"/>
      <c r="FC11" s="244" t="n"/>
      <c r="FD11" s="244" t="n"/>
      <c r="FE11" s="244" t="n"/>
      <c r="FF11" s="434" t="n"/>
      <c r="FG11" s="244" t="n"/>
      <c r="FH11" s="244" t="n"/>
      <c r="FI11" s="244" t="n"/>
      <c r="FJ11" s="244" t="n"/>
      <c r="FK11" s="244" t="n"/>
      <c r="FL11" s="244" t="n"/>
      <c r="FM11" s="434" t="n"/>
      <c r="FN11" s="244" t="n"/>
      <c r="FO11" s="244" t="n"/>
      <c r="FP11" s="244" t="n"/>
      <c r="FQ11" s="244" t="n"/>
      <c r="FR11" s="244" t="n"/>
      <c r="FS11" s="244" t="n"/>
      <c r="FT11" s="434" t="n"/>
      <c r="FU11" s="244" t="n"/>
      <c r="FV11" s="244" t="n"/>
      <c r="FW11" s="244" t="n"/>
      <c r="FX11" s="244" t="n"/>
      <c r="FY11" s="244" t="n"/>
      <c r="FZ11" s="244" t="n"/>
      <c r="GA11" s="435">
        <f>IF($B11="","",COUNTIF(ER11:FZ11,"✗"))</f>
        <v/>
      </c>
    </row>
    <row r="12">
      <c r="A12" s="226" t="n">
        <v>4</v>
      </c>
      <c r="B12" s="227">
        <f>'ข้อมูลนักเรียน'!T12</f>
        <v/>
      </c>
      <c r="C12" s="432">
        <f>IF(B12="","",COUNTIF(D12:GA12,"✗"))</f>
        <v/>
      </c>
      <c r="D12" s="433" t="n"/>
      <c r="E12" s="244" t="n"/>
      <c r="F12" s="244" t="n"/>
      <c r="G12" s="244" t="n"/>
      <c r="H12" s="244" t="n"/>
      <c r="I12" s="244" t="n"/>
      <c r="J12" s="244" t="n"/>
      <c r="K12" s="434" t="n"/>
      <c r="L12" s="244" t="n"/>
      <c r="M12" s="244" t="n"/>
      <c r="N12" s="244" t="n"/>
      <c r="O12" s="244" t="n"/>
      <c r="P12" s="244" t="n"/>
      <c r="Q12" s="244" t="n"/>
      <c r="R12" s="434" t="n"/>
      <c r="S12" s="244" t="n"/>
      <c r="T12" s="244" t="n"/>
      <c r="U12" s="244" t="n"/>
      <c r="V12" s="244" t="n"/>
      <c r="W12" s="244" t="n"/>
      <c r="X12" s="244" t="n"/>
      <c r="Y12" s="434" t="n"/>
      <c r="Z12" s="244" t="n"/>
      <c r="AA12" s="244" t="n"/>
      <c r="AB12" s="244" t="n"/>
      <c r="AC12" s="244" t="n"/>
      <c r="AD12" s="244" t="n"/>
      <c r="AE12" s="244" t="n"/>
      <c r="AF12" s="434" t="n"/>
      <c r="AG12" s="244" t="n"/>
      <c r="AH12" s="244" t="n"/>
      <c r="AI12" s="244" t="n"/>
      <c r="AJ12" s="244" t="n"/>
      <c r="AK12" s="244" t="n"/>
      <c r="AL12" s="244" t="n"/>
      <c r="AM12" s="435">
        <f>IF($B12="","",COUNTIF(D12:AL12,"✗"))</f>
        <v/>
      </c>
      <c r="AN12" s="433" t="n"/>
      <c r="AO12" s="244" t="n"/>
      <c r="AP12" s="244" t="n"/>
      <c r="AQ12" s="244" t="n"/>
      <c r="AR12" s="244" t="n"/>
      <c r="AS12" s="244" t="n"/>
      <c r="AT12" s="244" t="n"/>
      <c r="AU12" s="434" t="n"/>
      <c r="AV12" s="244" t="n"/>
      <c r="AW12" s="244" t="n"/>
      <c r="AX12" s="244" t="n"/>
      <c r="AY12" s="244" t="n"/>
      <c r="AZ12" s="244" t="n"/>
      <c r="BA12" s="244" t="n"/>
      <c r="BB12" s="434" t="n"/>
      <c r="BC12" s="244" t="n"/>
      <c r="BD12" s="244" t="n"/>
      <c r="BE12" s="244" t="n"/>
      <c r="BF12" s="244" t="n"/>
      <c r="BG12" s="244" t="n"/>
      <c r="BH12" s="244" t="n"/>
      <c r="BI12" s="434" t="n"/>
      <c r="BJ12" s="244" t="n"/>
      <c r="BK12" s="244" t="n"/>
      <c r="BL12" s="244" t="n"/>
      <c r="BM12" s="244" t="n"/>
      <c r="BN12" s="244" t="n"/>
      <c r="BO12" s="244" t="n"/>
      <c r="BP12" s="434" t="n"/>
      <c r="BQ12" s="244" t="n"/>
      <c r="BR12" s="244" t="n"/>
      <c r="BS12" s="244" t="n"/>
      <c r="BT12" s="244" t="n"/>
      <c r="BU12" s="244" t="n"/>
      <c r="BV12" s="244" t="n"/>
      <c r="BW12" s="435">
        <f>IF($B12="","",COUNTIF(AN12:BV12,"✗"))</f>
        <v/>
      </c>
      <c r="BX12" s="433" t="n"/>
      <c r="BY12" s="244" t="n"/>
      <c r="BZ12" s="244" t="n"/>
      <c r="CA12" s="244" t="n"/>
      <c r="CB12" s="244" t="n"/>
      <c r="CC12" s="244" t="n"/>
      <c r="CD12" s="244" t="n"/>
      <c r="CE12" s="434" t="n"/>
      <c r="CF12" s="244" t="n"/>
      <c r="CG12" s="244" t="n"/>
      <c r="CH12" s="244" t="n"/>
      <c r="CI12" s="244" t="n"/>
      <c r="CJ12" s="244" t="n"/>
      <c r="CK12" s="244" t="n"/>
      <c r="CL12" s="434" t="n"/>
      <c r="CM12" s="244" t="n"/>
      <c r="CN12" s="244" t="n"/>
      <c r="CO12" s="244" t="n"/>
      <c r="CP12" s="244" t="n"/>
      <c r="CQ12" s="244" t="n"/>
      <c r="CR12" s="244" t="n"/>
      <c r="CS12" s="434" t="n"/>
      <c r="CT12" s="244" t="n"/>
      <c r="CU12" s="244" t="n"/>
      <c r="CV12" s="244" t="n"/>
      <c r="CW12" s="244" t="n"/>
      <c r="CX12" s="244" t="n"/>
      <c r="CY12" s="244" t="n"/>
      <c r="CZ12" s="434" t="n"/>
      <c r="DA12" s="244" t="n"/>
      <c r="DB12" s="244" t="n"/>
      <c r="DC12" s="244" t="n"/>
      <c r="DD12" s="244" t="n"/>
      <c r="DE12" s="244" t="n"/>
      <c r="DF12" s="244" t="n"/>
      <c r="DG12" s="435">
        <f>IF($B12="","",COUNTIF(BX12:DF12,"✗"))</f>
        <v/>
      </c>
      <c r="DH12" s="433" t="n"/>
      <c r="DI12" s="244" t="n"/>
      <c r="DJ12" s="244" t="n"/>
      <c r="DK12" s="244" t="n"/>
      <c r="DL12" s="244" t="n"/>
      <c r="DM12" s="244" t="n"/>
      <c r="DN12" s="244" t="n"/>
      <c r="DO12" s="434" t="n"/>
      <c r="DP12" s="244" t="n"/>
      <c r="DQ12" s="244" t="n"/>
      <c r="DR12" s="244" t="n"/>
      <c r="DS12" s="244" t="n"/>
      <c r="DT12" s="244" t="n"/>
      <c r="DU12" s="244" t="n"/>
      <c r="DV12" s="434" t="n"/>
      <c r="DW12" s="244" t="n"/>
      <c r="DX12" s="244" t="n"/>
      <c r="DY12" s="244" t="n"/>
      <c r="DZ12" s="244" t="n"/>
      <c r="EA12" s="244" t="n"/>
      <c r="EB12" s="244" t="n"/>
      <c r="EC12" s="434" t="n"/>
      <c r="ED12" s="244" t="n"/>
      <c r="EE12" s="244" t="n"/>
      <c r="EF12" s="244" t="n"/>
      <c r="EG12" s="244" t="n"/>
      <c r="EH12" s="244" t="n"/>
      <c r="EI12" s="244" t="n"/>
      <c r="EJ12" s="434" t="n"/>
      <c r="EK12" s="244" t="n"/>
      <c r="EL12" s="244" t="n"/>
      <c r="EM12" s="244" t="n"/>
      <c r="EN12" s="244" t="n"/>
      <c r="EO12" s="244" t="n"/>
      <c r="EP12" s="244" t="n"/>
      <c r="EQ12" s="435">
        <f>IF($B12="","",COUNTIF(DH12:EP12,"✗"))</f>
        <v/>
      </c>
      <c r="ER12" s="433" t="n"/>
      <c r="ES12" s="244" t="n"/>
      <c r="ET12" s="244" t="n"/>
      <c r="EU12" s="244" t="n"/>
      <c r="EV12" s="244" t="n"/>
      <c r="EW12" s="244" t="n"/>
      <c r="EX12" s="244" t="n"/>
      <c r="EY12" s="434" t="n"/>
      <c r="EZ12" s="244" t="n"/>
      <c r="FA12" s="244" t="n"/>
      <c r="FB12" s="244" t="n"/>
      <c r="FC12" s="244" t="n"/>
      <c r="FD12" s="244" t="n"/>
      <c r="FE12" s="244" t="n"/>
      <c r="FF12" s="434" t="n"/>
      <c r="FG12" s="244" t="n"/>
      <c r="FH12" s="244" t="n"/>
      <c r="FI12" s="244" t="n"/>
      <c r="FJ12" s="244" t="n"/>
      <c r="FK12" s="244" t="n"/>
      <c r="FL12" s="244" t="n"/>
      <c r="FM12" s="434" t="n"/>
      <c r="FN12" s="244" t="n"/>
      <c r="FO12" s="244" t="n"/>
      <c r="FP12" s="244" t="n"/>
      <c r="FQ12" s="244" t="n"/>
      <c r="FR12" s="244" t="n"/>
      <c r="FS12" s="244" t="n"/>
      <c r="FT12" s="434" t="n"/>
      <c r="FU12" s="244" t="n"/>
      <c r="FV12" s="244" t="n"/>
      <c r="FW12" s="244" t="n"/>
      <c r="FX12" s="244" t="n"/>
      <c r="FY12" s="244" t="n"/>
      <c r="FZ12" s="244" t="n"/>
      <c r="GA12" s="435">
        <f>IF($B12="","",COUNTIF(ER12:FZ12,"✗"))</f>
        <v/>
      </c>
    </row>
    <row r="13">
      <c r="A13" s="218" t="n">
        <v>5</v>
      </c>
      <c r="B13" s="219">
        <f>'ข้อมูลนักเรียน'!T13</f>
        <v/>
      </c>
      <c r="C13" s="432">
        <f>IF(B13="","",COUNTIF(D13:GA13,"✗"))</f>
        <v/>
      </c>
      <c r="D13" s="433" t="n"/>
      <c r="E13" s="244" t="n"/>
      <c r="F13" s="244" t="n"/>
      <c r="G13" s="244" t="n"/>
      <c r="H13" s="244" t="n"/>
      <c r="I13" s="244" t="n"/>
      <c r="J13" s="244" t="n"/>
      <c r="K13" s="434" t="n"/>
      <c r="L13" s="244" t="n"/>
      <c r="M13" s="244" t="n"/>
      <c r="N13" s="244" t="n"/>
      <c r="O13" s="244" t="n"/>
      <c r="P13" s="244" t="n"/>
      <c r="Q13" s="244" t="n"/>
      <c r="R13" s="434" t="n"/>
      <c r="S13" s="244" t="n"/>
      <c r="T13" s="244" t="n"/>
      <c r="U13" s="244" t="n"/>
      <c r="V13" s="244" t="n"/>
      <c r="W13" s="244" t="n"/>
      <c r="X13" s="244" t="n"/>
      <c r="Y13" s="434" t="n"/>
      <c r="Z13" s="244" t="n"/>
      <c r="AA13" s="244" t="n"/>
      <c r="AB13" s="244" t="n"/>
      <c r="AC13" s="244" t="n"/>
      <c r="AD13" s="244" t="n"/>
      <c r="AE13" s="244" t="n"/>
      <c r="AF13" s="434" t="n"/>
      <c r="AG13" s="244" t="n"/>
      <c r="AH13" s="244" t="n"/>
      <c r="AI13" s="244" t="n"/>
      <c r="AJ13" s="244" t="n"/>
      <c r="AK13" s="244" t="n"/>
      <c r="AL13" s="244" t="n"/>
      <c r="AM13" s="435">
        <f>IF($B13="","",COUNTIF(D13:AL13,"✗"))</f>
        <v/>
      </c>
      <c r="AN13" s="433" t="n"/>
      <c r="AO13" s="244" t="n"/>
      <c r="AP13" s="244" t="n"/>
      <c r="AQ13" s="244" t="n"/>
      <c r="AR13" s="244" t="n"/>
      <c r="AS13" s="244" t="n"/>
      <c r="AT13" s="244" t="n"/>
      <c r="AU13" s="434" t="n"/>
      <c r="AV13" s="244" t="n"/>
      <c r="AW13" s="244" t="n"/>
      <c r="AX13" s="244" t="n"/>
      <c r="AY13" s="244" t="n"/>
      <c r="AZ13" s="244" t="n"/>
      <c r="BA13" s="244" t="n"/>
      <c r="BB13" s="434" t="n"/>
      <c r="BC13" s="244" t="n"/>
      <c r="BD13" s="244" t="n"/>
      <c r="BE13" s="244" t="n"/>
      <c r="BF13" s="244" t="n"/>
      <c r="BG13" s="244" t="n"/>
      <c r="BH13" s="244" t="n"/>
      <c r="BI13" s="434" t="n"/>
      <c r="BJ13" s="244" t="n"/>
      <c r="BK13" s="244" t="n"/>
      <c r="BL13" s="244" t="n"/>
      <c r="BM13" s="244" t="n"/>
      <c r="BN13" s="244" t="n"/>
      <c r="BO13" s="244" t="n"/>
      <c r="BP13" s="434" t="n"/>
      <c r="BQ13" s="244" t="n"/>
      <c r="BR13" s="244" t="n"/>
      <c r="BS13" s="244" t="n"/>
      <c r="BT13" s="244" t="n"/>
      <c r="BU13" s="244" t="n"/>
      <c r="BV13" s="244" t="n"/>
      <c r="BW13" s="435">
        <f>IF($B13="","",COUNTIF(AN13:BV13,"✗"))</f>
        <v/>
      </c>
      <c r="BX13" s="433" t="n"/>
      <c r="BY13" s="244" t="n"/>
      <c r="BZ13" s="244" t="n"/>
      <c r="CA13" s="244" t="n"/>
      <c r="CB13" s="244" t="n"/>
      <c r="CC13" s="244" t="n"/>
      <c r="CD13" s="244" t="n"/>
      <c r="CE13" s="434" t="n"/>
      <c r="CF13" s="244" t="n"/>
      <c r="CG13" s="244" t="n"/>
      <c r="CH13" s="244" t="n"/>
      <c r="CI13" s="244" t="n"/>
      <c r="CJ13" s="244" t="n"/>
      <c r="CK13" s="244" t="n"/>
      <c r="CL13" s="434" t="n"/>
      <c r="CM13" s="244" t="n"/>
      <c r="CN13" s="244" t="n"/>
      <c r="CO13" s="244" t="n"/>
      <c r="CP13" s="244" t="n"/>
      <c r="CQ13" s="244" t="n"/>
      <c r="CR13" s="244" t="n"/>
      <c r="CS13" s="434" t="n"/>
      <c r="CT13" s="244" t="n"/>
      <c r="CU13" s="244" t="n"/>
      <c r="CV13" s="244" t="n"/>
      <c r="CW13" s="244" t="n"/>
      <c r="CX13" s="244" t="n"/>
      <c r="CY13" s="244" t="n"/>
      <c r="CZ13" s="434" t="n"/>
      <c r="DA13" s="244" t="n"/>
      <c r="DB13" s="244" t="n"/>
      <c r="DC13" s="244" t="n"/>
      <c r="DD13" s="244" t="n"/>
      <c r="DE13" s="244" t="n"/>
      <c r="DF13" s="244" t="n"/>
      <c r="DG13" s="435">
        <f>IF($B13="","",COUNTIF(BX13:DF13,"✗"))</f>
        <v/>
      </c>
      <c r="DH13" s="433" t="n"/>
      <c r="DI13" s="244" t="n"/>
      <c r="DJ13" s="244" t="n"/>
      <c r="DK13" s="244" t="n"/>
      <c r="DL13" s="244" t="n"/>
      <c r="DM13" s="244" t="n"/>
      <c r="DN13" s="244" t="n"/>
      <c r="DO13" s="434" t="n"/>
      <c r="DP13" s="244" t="n"/>
      <c r="DQ13" s="244" t="n"/>
      <c r="DR13" s="244" t="n"/>
      <c r="DS13" s="244" t="n"/>
      <c r="DT13" s="244" t="n"/>
      <c r="DU13" s="244" t="n"/>
      <c r="DV13" s="434" t="n"/>
      <c r="DW13" s="244" t="n"/>
      <c r="DX13" s="244" t="n"/>
      <c r="DY13" s="244" t="n"/>
      <c r="DZ13" s="244" t="n"/>
      <c r="EA13" s="244" t="n"/>
      <c r="EB13" s="244" t="n"/>
      <c r="EC13" s="434" t="n"/>
      <c r="ED13" s="244" t="n"/>
      <c r="EE13" s="244" t="n"/>
      <c r="EF13" s="244" t="n"/>
      <c r="EG13" s="244" t="n"/>
      <c r="EH13" s="244" t="n"/>
      <c r="EI13" s="244" t="n"/>
      <c r="EJ13" s="434" t="n"/>
      <c r="EK13" s="244" t="n"/>
      <c r="EL13" s="244" t="n"/>
      <c r="EM13" s="244" t="n"/>
      <c r="EN13" s="244" t="n"/>
      <c r="EO13" s="244" t="n"/>
      <c r="EP13" s="244" t="n"/>
      <c r="EQ13" s="435">
        <f>IF($B13="","",COUNTIF(DH13:EP13,"✗"))</f>
        <v/>
      </c>
      <c r="ER13" s="433" t="n"/>
      <c r="ES13" s="244" t="n"/>
      <c r="ET13" s="244" t="n"/>
      <c r="EU13" s="244" t="n"/>
      <c r="EV13" s="244" t="n"/>
      <c r="EW13" s="244" t="n"/>
      <c r="EX13" s="244" t="n"/>
      <c r="EY13" s="434" t="n"/>
      <c r="EZ13" s="244" t="n"/>
      <c r="FA13" s="244" t="n"/>
      <c r="FB13" s="244" t="n"/>
      <c r="FC13" s="244" t="n"/>
      <c r="FD13" s="244" t="n"/>
      <c r="FE13" s="244" t="n"/>
      <c r="FF13" s="434" t="n"/>
      <c r="FG13" s="244" t="n"/>
      <c r="FH13" s="244" t="n"/>
      <c r="FI13" s="244" t="n"/>
      <c r="FJ13" s="244" t="n"/>
      <c r="FK13" s="244" t="n"/>
      <c r="FL13" s="244" t="n"/>
      <c r="FM13" s="434" t="n"/>
      <c r="FN13" s="244" t="n"/>
      <c r="FO13" s="244" t="n"/>
      <c r="FP13" s="244" t="n"/>
      <c r="FQ13" s="244" t="n"/>
      <c r="FR13" s="244" t="n"/>
      <c r="FS13" s="244" t="n"/>
      <c r="FT13" s="434" t="n"/>
      <c r="FU13" s="244" t="n"/>
      <c r="FV13" s="244" t="n"/>
      <c r="FW13" s="244" t="n"/>
      <c r="FX13" s="244" t="n"/>
      <c r="FY13" s="244" t="n"/>
      <c r="FZ13" s="244" t="n"/>
      <c r="GA13" s="435">
        <f>IF($B13="","",COUNTIF(ER13:FZ13,"✗"))</f>
        <v/>
      </c>
    </row>
    <row r="14">
      <c r="A14" s="436" t="inlineStr">
        <is>
          <t>ต้องแก้ไข (คน)</t>
        </is>
      </c>
      <c r="D14" s="437">
        <f>IF(D$4=0,"",COUNTIF(D9:D13,"✗"))</f>
        <v/>
      </c>
      <c r="E14" s="438">
        <f>IF(E$4=0,"",COUNTIF(E9:E13,"✗"))</f>
        <v/>
      </c>
      <c r="F14" s="438">
        <f>IF(F$4=0,"",COUNTIF(F9:F13,"✗"))</f>
        <v/>
      </c>
      <c r="G14" s="438">
        <f>IF(G$4=0,"",COUNTIF(G9:G13,"✗"))</f>
        <v/>
      </c>
      <c r="H14" s="438">
        <f>IF(H$4=0,"",COUNTIF(H9:H13,"✗"))</f>
        <v/>
      </c>
      <c r="I14" s="438">
        <f>IF(I$4=0,"",COUNTIF(I9:I13,"✗"))</f>
        <v/>
      </c>
      <c r="J14" s="438">
        <f>IF(J$4=0,"",COUNTIF(J9:J13,"✗"))</f>
        <v/>
      </c>
      <c r="K14" s="439">
        <f>IF(K$4=0,"",COUNTIF(K9:K13,"✗"))</f>
        <v/>
      </c>
      <c r="L14" s="438">
        <f>IF(L$4=0,"",COUNTIF(L9:L13,"✗"))</f>
        <v/>
      </c>
      <c r="M14" s="438">
        <f>IF(M$4=0,"",COUNTIF(M9:M13,"✗"))</f>
        <v/>
      </c>
      <c r="N14" s="438">
        <f>IF(N$4=0,"",COUNTIF(N9:N13,"✗"))</f>
        <v/>
      </c>
      <c r="O14" s="438">
        <f>IF(O$4=0,"",COUNTIF(O9:O13,"✗"))</f>
        <v/>
      </c>
      <c r="P14" s="438">
        <f>IF(P$4=0,"",COUNTIF(P9:P13,"✗"))</f>
        <v/>
      </c>
      <c r="Q14" s="438">
        <f>IF(Q$4=0,"",COUNTIF(Q9:Q13,"✗"))</f>
        <v/>
      </c>
      <c r="R14" s="439">
        <f>IF(R$4=0,"",COUNTIF(R9:R13,"✗"))</f>
        <v/>
      </c>
      <c r="S14" s="438">
        <f>IF(S$4=0,"",COUNTIF(S9:S13,"✗"))</f>
        <v/>
      </c>
      <c r="T14" s="438">
        <f>IF(T$4=0,"",COUNTIF(T9:T13,"✗"))</f>
        <v/>
      </c>
      <c r="U14" s="438">
        <f>IF(U$4=0,"",COUNTIF(U9:U13,"✗"))</f>
        <v/>
      </c>
      <c r="V14" s="438">
        <f>IF(V$4=0,"",COUNTIF(V9:V13,"✗"))</f>
        <v/>
      </c>
      <c r="W14" s="438">
        <f>IF(W$4=0,"",COUNTIF(W9:W13,"✗"))</f>
        <v/>
      </c>
      <c r="X14" s="438">
        <f>IF(X$4=0,"",COUNTIF(X9:X13,"✗"))</f>
        <v/>
      </c>
      <c r="Y14" s="439">
        <f>IF(Y$4=0,"",COUNTIF(Y9:Y13,"✗"))</f>
        <v/>
      </c>
      <c r="Z14" s="438">
        <f>IF(Z$4=0,"",COUNTIF(Z9:Z13,"✗"))</f>
        <v/>
      </c>
      <c r="AA14" s="438">
        <f>IF(AA$4=0,"",COUNTIF(AA9:AA13,"✗"))</f>
        <v/>
      </c>
      <c r="AB14" s="438">
        <f>IF(AB$4=0,"",COUNTIF(AB9:AB13,"✗"))</f>
        <v/>
      </c>
      <c r="AC14" s="438">
        <f>IF(AC$4=0,"",COUNTIF(AC9:AC13,"✗"))</f>
        <v/>
      </c>
      <c r="AD14" s="438">
        <f>IF(AD$4=0,"",COUNTIF(AD9:AD13,"✗"))</f>
        <v/>
      </c>
      <c r="AE14" s="438">
        <f>IF(AE$4=0,"",COUNTIF(AE9:AE13,"✗"))</f>
        <v/>
      </c>
      <c r="AF14" s="439">
        <f>IF(AF$4=0,"",COUNTIF(AF9:AF13,"✗"))</f>
        <v/>
      </c>
      <c r="AG14" s="438">
        <f>IF(AG$4=0,"",COUNTIF(AG9:AG13,"✗"))</f>
        <v/>
      </c>
      <c r="AH14" s="438">
        <f>IF(AH$4=0,"",COUNTIF(AH9:AH13,"✗"))</f>
        <v/>
      </c>
      <c r="AI14" s="438">
        <f>IF(AI$4=0,"",COUNTIF(AI9:AI13,"✗"))</f>
        <v/>
      </c>
      <c r="AJ14" s="438">
        <f>IF(AJ$4=0,"",COUNTIF(AJ9:AJ13,"✗"))</f>
        <v/>
      </c>
      <c r="AK14" s="438">
        <f>IF(AK$4=0,"",COUNTIF(AK9:AK13,"✗"))</f>
        <v/>
      </c>
      <c r="AL14" s="438">
        <f>IF(AL$4=0,"",COUNTIF(AL9:AL13,"✗"))</f>
        <v/>
      </c>
      <c r="AM14" s="440">
        <f>SUM(AM9:AM13)</f>
        <v/>
      </c>
      <c r="AN14" s="437">
        <f>IF(AN$4=0,"",COUNTIF(AN9:AN13,"✗"))</f>
        <v/>
      </c>
      <c r="AO14" s="438">
        <f>IF(AO$4=0,"",COUNTIF(AO9:AO13,"✗"))</f>
        <v/>
      </c>
      <c r="AP14" s="438">
        <f>IF(AP$4=0,"",COUNTIF(AP9:AP13,"✗"))</f>
        <v/>
      </c>
      <c r="AQ14" s="438">
        <f>IF(AQ$4=0,"",COUNTIF(AQ9:AQ13,"✗"))</f>
        <v/>
      </c>
      <c r="AR14" s="438">
        <f>IF(AR$4=0,"",COUNTIF(AR9:AR13,"✗"))</f>
        <v/>
      </c>
      <c r="AS14" s="438">
        <f>IF(AS$4=0,"",COUNTIF(AS9:AS13,"✗"))</f>
        <v/>
      </c>
      <c r="AT14" s="438">
        <f>IF(AT$4=0,"",COUNTIF(AT9:AT13,"✗"))</f>
        <v/>
      </c>
      <c r="AU14" s="439">
        <f>IF(AU$4=0,"",COUNTIF(AU9:AU13,"✗"))</f>
        <v/>
      </c>
      <c r="AV14" s="438">
        <f>IF(AV$4=0,"",COUNTIF(AV9:AV13,"✗"))</f>
        <v/>
      </c>
      <c r="AW14" s="438">
        <f>IF(AW$4=0,"",COUNTIF(AW9:AW13,"✗"))</f>
        <v/>
      </c>
      <c r="AX14" s="438">
        <f>IF(AX$4=0,"",COUNTIF(AX9:AX13,"✗"))</f>
        <v/>
      </c>
      <c r="AY14" s="438">
        <f>IF(AY$4=0,"",COUNTIF(AY9:AY13,"✗"))</f>
        <v/>
      </c>
      <c r="AZ14" s="438">
        <f>IF(AZ$4=0,"",COUNTIF(AZ9:AZ13,"✗"))</f>
        <v/>
      </c>
      <c r="BA14" s="438">
        <f>IF(BA$4=0,"",COUNTIF(BA9:BA13,"✗"))</f>
        <v/>
      </c>
      <c r="BB14" s="439">
        <f>IF(BB$4=0,"",COUNTIF(BB9:BB13,"✗"))</f>
        <v/>
      </c>
      <c r="BC14" s="438">
        <f>IF(BC$4=0,"",COUNTIF(BC9:BC13,"✗"))</f>
        <v/>
      </c>
      <c r="BD14" s="438">
        <f>IF(BD$4=0,"",COUNTIF(BD9:BD13,"✗"))</f>
        <v/>
      </c>
      <c r="BE14" s="438">
        <f>IF(BE$4=0,"",COUNTIF(BE9:BE13,"✗"))</f>
        <v/>
      </c>
      <c r="BF14" s="438">
        <f>IF(BF$4=0,"",COUNTIF(BF9:BF13,"✗"))</f>
        <v/>
      </c>
      <c r="BG14" s="438">
        <f>IF(BG$4=0,"",COUNTIF(BG9:BG13,"✗"))</f>
        <v/>
      </c>
      <c r="BH14" s="438">
        <f>IF(BH$4=0,"",COUNTIF(BH9:BH13,"✗"))</f>
        <v/>
      </c>
      <c r="BI14" s="439">
        <f>IF(BI$4=0,"",COUNTIF(BI9:BI13,"✗"))</f>
        <v/>
      </c>
      <c r="BJ14" s="438">
        <f>IF(BJ$4=0,"",COUNTIF(BJ9:BJ13,"✗"))</f>
        <v/>
      </c>
      <c r="BK14" s="438">
        <f>IF(BK$4=0,"",COUNTIF(BK9:BK13,"✗"))</f>
        <v/>
      </c>
      <c r="BL14" s="438">
        <f>IF(BL$4=0,"",COUNTIF(BL9:BL13,"✗"))</f>
        <v/>
      </c>
      <c r="BM14" s="438">
        <f>IF(BM$4=0,"",COUNTIF(BM9:BM13,"✗"))</f>
        <v/>
      </c>
      <c r="BN14" s="438">
        <f>IF(BN$4=0,"",COUNTIF(BN9:BN13,"✗"))</f>
        <v/>
      </c>
      <c r="BO14" s="438">
        <f>IF(BO$4=0,"",COUNTIF(BO9:BO13,"✗"))</f>
        <v/>
      </c>
      <c r="BP14" s="439">
        <f>IF(BP$4=0,"",COUNTIF(BP9:BP13,"✗"))</f>
        <v/>
      </c>
      <c r="BQ14" s="438">
        <f>IF(BQ$4=0,"",COUNTIF(BQ9:BQ13,"✗"))</f>
        <v/>
      </c>
      <c r="BR14" s="438">
        <f>IF(BR$4=0,"",COUNTIF(BR9:BR13,"✗"))</f>
        <v/>
      </c>
      <c r="BS14" s="438">
        <f>IF(BS$4=0,"",COUNTIF(BS9:BS13,"✗"))</f>
        <v/>
      </c>
      <c r="BT14" s="438">
        <f>IF(BT$4=0,"",COUNTIF(BT9:BT13,"✗"))</f>
        <v/>
      </c>
      <c r="BU14" s="438">
        <f>IF(BU$4=0,"",COUNTIF(BU9:BU13,"✗"))</f>
        <v/>
      </c>
      <c r="BV14" s="438">
        <f>IF(BV$4=0,"",COUNTIF(BV9:BV13,"✗"))</f>
        <v/>
      </c>
      <c r="BW14" s="440">
        <f>SUM(BW9:BW13)</f>
        <v/>
      </c>
      <c r="BX14" s="437">
        <f>IF(BX$4=0,"",COUNTIF(BX9:BX13,"✗"))</f>
        <v/>
      </c>
      <c r="BY14" s="438">
        <f>IF(BY$4=0,"",COUNTIF(BY9:BY13,"✗"))</f>
        <v/>
      </c>
      <c r="BZ14" s="438">
        <f>IF(BZ$4=0,"",COUNTIF(BZ9:BZ13,"✗"))</f>
        <v/>
      </c>
      <c r="CA14" s="438">
        <f>IF(CA$4=0,"",COUNTIF(CA9:CA13,"✗"))</f>
        <v/>
      </c>
      <c r="CB14" s="438">
        <f>IF(CB$4=0,"",COUNTIF(CB9:CB13,"✗"))</f>
        <v/>
      </c>
      <c r="CC14" s="438">
        <f>IF(CC$4=0,"",COUNTIF(CC9:CC13,"✗"))</f>
        <v/>
      </c>
      <c r="CD14" s="438">
        <f>IF(CD$4=0,"",COUNTIF(CD9:CD13,"✗"))</f>
        <v/>
      </c>
      <c r="CE14" s="439">
        <f>IF(CE$4=0,"",COUNTIF(CE9:CE13,"✗"))</f>
        <v/>
      </c>
      <c r="CF14" s="438">
        <f>IF(CF$4=0,"",COUNTIF(CF9:CF13,"✗"))</f>
        <v/>
      </c>
      <c r="CG14" s="438">
        <f>IF(CG$4=0,"",COUNTIF(CG9:CG13,"✗"))</f>
        <v/>
      </c>
      <c r="CH14" s="438">
        <f>IF(CH$4=0,"",COUNTIF(CH9:CH13,"✗"))</f>
        <v/>
      </c>
      <c r="CI14" s="438">
        <f>IF(CI$4=0,"",COUNTIF(CI9:CI13,"✗"))</f>
        <v/>
      </c>
      <c r="CJ14" s="438">
        <f>IF(CJ$4=0,"",COUNTIF(CJ9:CJ13,"✗"))</f>
        <v/>
      </c>
      <c r="CK14" s="438">
        <f>IF(CK$4=0,"",COUNTIF(CK9:CK13,"✗"))</f>
        <v/>
      </c>
      <c r="CL14" s="439">
        <f>IF(CL$4=0,"",COUNTIF(CL9:CL13,"✗"))</f>
        <v/>
      </c>
      <c r="CM14" s="438">
        <f>IF(CM$4=0,"",COUNTIF(CM9:CM13,"✗"))</f>
        <v/>
      </c>
      <c r="CN14" s="438">
        <f>IF(CN$4=0,"",COUNTIF(CN9:CN13,"✗"))</f>
        <v/>
      </c>
      <c r="CO14" s="438">
        <f>IF(CO$4=0,"",COUNTIF(CO9:CO13,"✗"))</f>
        <v/>
      </c>
      <c r="CP14" s="438">
        <f>IF(CP$4=0,"",COUNTIF(CP9:CP13,"✗"))</f>
        <v/>
      </c>
      <c r="CQ14" s="438">
        <f>IF(CQ$4=0,"",COUNTIF(CQ9:CQ13,"✗"))</f>
        <v/>
      </c>
      <c r="CR14" s="438">
        <f>IF(CR$4=0,"",COUNTIF(CR9:CR13,"✗"))</f>
        <v/>
      </c>
      <c r="CS14" s="439">
        <f>IF(CS$4=0,"",COUNTIF(CS9:CS13,"✗"))</f>
        <v/>
      </c>
      <c r="CT14" s="438">
        <f>IF(CT$4=0,"",COUNTIF(CT9:CT13,"✗"))</f>
        <v/>
      </c>
      <c r="CU14" s="438">
        <f>IF(CU$4=0,"",COUNTIF(CU9:CU13,"✗"))</f>
        <v/>
      </c>
      <c r="CV14" s="438">
        <f>IF(CV$4=0,"",COUNTIF(CV9:CV13,"✗"))</f>
        <v/>
      </c>
      <c r="CW14" s="438">
        <f>IF(CW$4=0,"",COUNTIF(CW9:CW13,"✗"))</f>
        <v/>
      </c>
      <c r="CX14" s="438">
        <f>IF(CX$4=0,"",COUNTIF(CX9:CX13,"✗"))</f>
        <v/>
      </c>
      <c r="CY14" s="438">
        <f>IF(CY$4=0,"",COUNTIF(CY9:CY13,"✗"))</f>
        <v/>
      </c>
      <c r="CZ14" s="439">
        <f>IF(CZ$4=0,"",COUNTIF(CZ9:CZ13,"✗"))</f>
        <v/>
      </c>
      <c r="DA14" s="438">
        <f>IF(DA$4=0,"",COUNTIF(DA9:DA13,"✗"))</f>
        <v/>
      </c>
      <c r="DB14" s="438">
        <f>IF(DB$4=0,"",COUNTIF(DB9:DB13,"✗"))</f>
        <v/>
      </c>
      <c r="DC14" s="438">
        <f>IF(DC$4=0,"",COUNTIF(DC9:DC13,"✗"))</f>
        <v/>
      </c>
      <c r="DD14" s="438">
        <f>IF(DD$4=0,"",COUNTIF(DD9:DD13,"✗"))</f>
        <v/>
      </c>
      <c r="DE14" s="438">
        <f>IF(DE$4=0,"",COUNTIF(DE9:DE13,"✗"))</f>
        <v/>
      </c>
      <c r="DF14" s="438">
        <f>IF(DF$4=0,"",COUNTIF(DF9:DF13,"✗"))</f>
        <v/>
      </c>
      <c r="DG14" s="440">
        <f>SUM(DG9:DG13)</f>
        <v/>
      </c>
      <c r="DH14" s="437">
        <f>IF(DH$4=0,"",COUNTIF(DH9:DH13,"✗"))</f>
        <v/>
      </c>
      <c r="DI14" s="438">
        <f>IF(DI$4=0,"",COUNTIF(DI9:DI13,"✗"))</f>
        <v/>
      </c>
      <c r="DJ14" s="438">
        <f>IF(DJ$4=0,"",COUNTIF(DJ9:DJ13,"✗"))</f>
        <v/>
      </c>
      <c r="DK14" s="438">
        <f>IF(DK$4=0,"",COUNTIF(DK9:DK13,"✗"))</f>
        <v/>
      </c>
      <c r="DL14" s="438">
        <f>IF(DL$4=0,"",COUNTIF(DL9:DL13,"✗"))</f>
        <v/>
      </c>
      <c r="DM14" s="438">
        <f>IF(DM$4=0,"",COUNTIF(DM9:DM13,"✗"))</f>
        <v/>
      </c>
      <c r="DN14" s="438">
        <f>IF(DN$4=0,"",COUNTIF(DN9:DN13,"✗"))</f>
        <v/>
      </c>
      <c r="DO14" s="439">
        <f>IF(DO$4=0,"",COUNTIF(DO9:DO13,"✗"))</f>
        <v/>
      </c>
      <c r="DP14" s="438">
        <f>IF(DP$4=0,"",COUNTIF(DP9:DP13,"✗"))</f>
        <v/>
      </c>
      <c r="DQ14" s="438">
        <f>IF(DQ$4=0,"",COUNTIF(DQ9:DQ13,"✗"))</f>
        <v/>
      </c>
      <c r="DR14" s="438">
        <f>IF(DR$4=0,"",COUNTIF(DR9:DR13,"✗"))</f>
        <v/>
      </c>
      <c r="DS14" s="438">
        <f>IF(DS$4=0,"",COUNTIF(DS9:DS13,"✗"))</f>
        <v/>
      </c>
      <c r="DT14" s="438">
        <f>IF(DT$4=0,"",COUNTIF(DT9:DT13,"✗"))</f>
        <v/>
      </c>
      <c r="DU14" s="438">
        <f>IF(DU$4=0,"",COUNTIF(DU9:DU13,"✗"))</f>
        <v/>
      </c>
      <c r="DV14" s="439">
        <f>IF(DV$4=0,"",COUNTIF(DV9:DV13,"✗"))</f>
        <v/>
      </c>
      <c r="DW14" s="438">
        <f>IF(DW$4=0,"",COUNTIF(DW9:DW13,"✗"))</f>
        <v/>
      </c>
      <c r="DX14" s="438">
        <f>IF(DX$4=0,"",COUNTIF(DX9:DX13,"✗"))</f>
        <v/>
      </c>
      <c r="DY14" s="438">
        <f>IF(DY$4=0,"",COUNTIF(DY9:DY13,"✗"))</f>
        <v/>
      </c>
      <c r="DZ14" s="438">
        <f>IF(DZ$4=0,"",COUNTIF(DZ9:DZ13,"✗"))</f>
        <v/>
      </c>
      <c r="EA14" s="438">
        <f>IF(EA$4=0,"",COUNTIF(EA9:EA13,"✗"))</f>
        <v/>
      </c>
      <c r="EB14" s="438">
        <f>IF(EB$4=0,"",COUNTIF(EB9:EB13,"✗"))</f>
        <v/>
      </c>
      <c r="EC14" s="439">
        <f>IF(EC$4=0,"",COUNTIF(EC9:EC13,"✗"))</f>
        <v/>
      </c>
      <c r="ED14" s="438">
        <f>IF(ED$4=0,"",COUNTIF(ED9:ED13,"✗"))</f>
        <v/>
      </c>
      <c r="EE14" s="438">
        <f>IF(EE$4=0,"",COUNTIF(EE9:EE13,"✗"))</f>
        <v/>
      </c>
      <c r="EF14" s="438">
        <f>IF(EF$4=0,"",COUNTIF(EF9:EF13,"✗"))</f>
        <v/>
      </c>
      <c r="EG14" s="438">
        <f>IF(EG$4=0,"",COUNTIF(EG9:EG13,"✗"))</f>
        <v/>
      </c>
      <c r="EH14" s="438">
        <f>IF(EH$4=0,"",COUNTIF(EH9:EH13,"✗"))</f>
        <v/>
      </c>
      <c r="EI14" s="438">
        <f>IF(EI$4=0,"",COUNTIF(EI9:EI13,"✗"))</f>
        <v/>
      </c>
      <c r="EJ14" s="439">
        <f>IF(EJ$4=0,"",COUNTIF(EJ9:EJ13,"✗"))</f>
        <v/>
      </c>
      <c r="EK14" s="438">
        <f>IF(EK$4=0,"",COUNTIF(EK9:EK13,"✗"))</f>
        <v/>
      </c>
      <c r="EL14" s="438">
        <f>IF(EL$4=0,"",COUNTIF(EL9:EL13,"✗"))</f>
        <v/>
      </c>
      <c r="EM14" s="438">
        <f>IF(EM$4=0,"",COUNTIF(EM9:EM13,"✗"))</f>
        <v/>
      </c>
      <c r="EN14" s="438">
        <f>IF(EN$4=0,"",COUNTIF(EN9:EN13,"✗"))</f>
        <v/>
      </c>
      <c r="EO14" s="438">
        <f>IF(EO$4=0,"",COUNTIF(EO9:EO13,"✗"))</f>
        <v/>
      </c>
      <c r="EP14" s="438">
        <f>IF(EP$4=0,"",COUNTIF(EP9:EP13,"✗"))</f>
        <v/>
      </c>
      <c r="EQ14" s="440">
        <f>SUM(EQ9:EQ13)</f>
        <v/>
      </c>
      <c r="ER14" s="437">
        <f>IF(ER$4=0,"",COUNTIF(ER9:ER13,"✗"))</f>
        <v/>
      </c>
      <c r="ES14" s="438">
        <f>IF(ES$4=0,"",COUNTIF(ES9:ES13,"✗"))</f>
        <v/>
      </c>
      <c r="ET14" s="438">
        <f>IF(ET$4=0,"",COUNTIF(ET9:ET13,"✗"))</f>
        <v/>
      </c>
      <c r="EU14" s="438">
        <f>IF(EU$4=0,"",COUNTIF(EU9:EU13,"✗"))</f>
        <v/>
      </c>
      <c r="EV14" s="438">
        <f>IF(EV$4=0,"",COUNTIF(EV9:EV13,"✗"))</f>
        <v/>
      </c>
      <c r="EW14" s="438">
        <f>IF(EW$4=0,"",COUNTIF(EW9:EW13,"✗"))</f>
        <v/>
      </c>
      <c r="EX14" s="438">
        <f>IF(EX$4=0,"",COUNTIF(EX9:EX13,"✗"))</f>
        <v/>
      </c>
      <c r="EY14" s="439">
        <f>IF(EY$4=0,"",COUNTIF(EY9:EY13,"✗"))</f>
        <v/>
      </c>
      <c r="EZ14" s="438">
        <f>IF(EZ$4=0,"",COUNTIF(EZ9:EZ13,"✗"))</f>
        <v/>
      </c>
      <c r="FA14" s="438">
        <f>IF(FA$4=0,"",COUNTIF(FA9:FA13,"✗"))</f>
        <v/>
      </c>
      <c r="FB14" s="438">
        <f>IF(FB$4=0,"",COUNTIF(FB9:FB13,"✗"))</f>
        <v/>
      </c>
      <c r="FC14" s="438">
        <f>IF(FC$4=0,"",COUNTIF(FC9:FC13,"✗"))</f>
        <v/>
      </c>
      <c r="FD14" s="438">
        <f>IF(FD$4=0,"",COUNTIF(FD9:FD13,"✗"))</f>
        <v/>
      </c>
      <c r="FE14" s="438">
        <f>IF(FE$4=0,"",COUNTIF(FE9:FE13,"✗"))</f>
        <v/>
      </c>
      <c r="FF14" s="439">
        <f>IF(FF$4=0,"",COUNTIF(FF9:FF13,"✗"))</f>
        <v/>
      </c>
      <c r="FG14" s="438">
        <f>IF(FG$4=0,"",COUNTIF(FG9:FG13,"✗"))</f>
        <v/>
      </c>
      <c r="FH14" s="438">
        <f>IF(FH$4=0,"",COUNTIF(FH9:FH13,"✗"))</f>
        <v/>
      </c>
      <c r="FI14" s="438">
        <f>IF(FI$4=0,"",COUNTIF(FI9:FI13,"✗"))</f>
        <v/>
      </c>
      <c r="FJ14" s="438">
        <f>IF(FJ$4=0,"",COUNTIF(FJ9:FJ13,"✗"))</f>
        <v/>
      </c>
      <c r="FK14" s="438">
        <f>IF(FK$4=0,"",COUNTIF(FK9:FK13,"✗"))</f>
        <v/>
      </c>
      <c r="FL14" s="438">
        <f>IF(FL$4=0,"",COUNTIF(FL9:FL13,"✗"))</f>
        <v/>
      </c>
      <c r="FM14" s="439">
        <f>IF(FM$4=0,"",COUNTIF(FM9:FM13,"✗"))</f>
        <v/>
      </c>
      <c r="FN14" s="438">
        <f>IF(FN$4=0,"",COUNTIF(FN9:FN13,"✗"))</f>
        <v/>
      </c>
      <c r="FO14" s="438">
        <f>IF(FO$4=0,"",COUNTIF(FO9:FO13,"✗"))</f>
        <v/>
      </c>
      <c r="FP14" s="438">
        <f>IF(FP$4=0,"",COUNTIF(FP9:FP13,"✗"))</f>
        <v/>
      </c>
      <c r="FQ14" s="438">
        <f>IF(FQ$4=0,"",COUNTIF(FQ9:FQ13,"✗"))</f>
        <v/>
      </c>
      <c r="FR14" s="438">
        <f>IF(FR$4=0,"",COUNTIF(FR9:FR13,"✗"))</f>
        <v/>
      </c>
      <c r="FS14" s="438">
        <f>IF(FS$4=0,"",COUNTIF(FS9:FS13,"✗"))</f>
        <v/>
      </c>
      <c r="FT14" s="439">
        <f>IF(FT$4=0,"",COUNTIF(FT9:FT13,"✗"))</f>
        <v/>
      </c>
      <c r="FU14" s="438">
        <f>IF(FU$4=0,"",COUNTIF(FU9:FU13,"✗"))</f>
        <v/>
      </c>
      <c r="FV14" s="438">
        <f>IF(FV$4=0,"",COUNTIF(FV9:FV13,"✗"))</f>
        <v/>
      </c>
      <c r="FW14" s="438">
        <f>IF(FW$4=0,"",COUNTIF(FW9:FW13,"✗"))</f>
        <v/>
      </c>
      <c r="FX14" s="438">
        <f>IF(FX$4=0,"",COUNTIF(FX9:FX13,"✗"))</f>
        <v/>
      </c>
      <c r="FY14" s="438">
        <f>IF(FY$4=0,"",COUNTIF(FY9:FY13,"✗"))</f>
        <v/>
      </c>
      <c r="FZ14" s="438">
        <f>IF(FZ$4=0,"",COUNTIF(FZ9:FZ13,"✗"))</f>
        <v/>
      </c>
      <c r="GA14" s="440">
        <f>SUM(GA9:GA13)</f>
        <v/>
      </c>
    </row>
    <row r="15"/>
    <row r="16">
      <c r="B16" s="441" t="inlineStr">
        <is>
          <t>สรุปทั้งภาคเรียน : จำนวนครั้งที่ต้องแก้ไข</t>
        </is>
      </c>
      <c r="P16" s="246" t="inlineStr">
        <is>
          <t>ลงชื่อ ........................................................</t>
        </is>
      </c>
      <c r="AD16" s="246" t="inlineStr">
        <is>
          <t>ลงชื่อ ........................................................</t>
        </is>
      </c>
    </row>
    <row r="17">
      <c r="B17" s="442" t="inlineStr">
        <is>
          <t>ผม</t>
        </is>
      </c>
      <c r="C17" s="443">
        <f>SUMPRODUCT((D$8:GA$8="ผม")*(D$9:GA$13="✗"))</f>
        <v/>
      </c>
      <c r="P17" s="246">
        <f>"( "&amp;IF('ข้อมูลโรงเรียน'!$C$9="","..................................................",'ข้อมูลโรงเรียน'!$C$9)&amp;" )"</f>
        <v/>
      </c>
      <c r="AD17" s="246">
        <f>"( "&amp;IF('ข้อมูลโรงเรียน'!$C$11="","..................................................",'ข้อมูลโรงเรียน'!$C$11)&amp;" )"</f>
        <v/>
      </c>
    </row>
    <row r="18">
      <c r="B18" s="442" t="inlineStr">
        <is>
          <t>เล็บ</t>
        </is>
      </c>
      <c r="C18" s="443">
        <f>SUMPRODUCT((D$8:GA$8="เล็บ")*(D$9:GA$13="✗"))</f>
        <v/>
      </c>
      <c r="P18" s="277" t="inlineStr">
        <is>
          <t>ครูประจำชั้น</t>
        </is>
      </c>
      <c r="AD18" s="277" t="inlineStr">
        <is>
          <t>ผู้บริหารสถานศึกษา</t>
        </is>
      </c>
    </row>
    <row r="19">
      <c r="B19" s="442" t="inlineStr">
        <is>
          <t>ฟัน</t>
        </is>
      </c>
      <c r="C19" s="443">
        <f>SUMPRODUCT((D$8:GA$8="ฟัน")*(D$9:GA$13="✗"))</f>
        <v/>
      </c>
    </row>
    <row r="20">
      <c r="B20" s="442" t="inlineStr">
        <is>
          <t>หู</t>
        </is>
      </c>
      <c r="C20" s="443">
        <f>SUMPRODUCT((D$8:GA$8="หู")*(D$9:GA$13="✗"))</f>
        <v/>
      </c>
    </row>
    <row r="21">
      <c r="B21" s="442" t="inlineStr">
        <is>
          <t>ผิวหนัง</t>
        </is>
      </c>
      <c r="C21" s="443">
        <f>SUMPRODUCT((D$8:GA$8="ผิวหนัง")*(D$9:GA$13="✗"))</f>
        <v/>
      </c>
    </row>
    <row r="22">
      <c r="B22" s="442" t="inlineStr">
        <is>
          <t>เสื้อผ้า</t>
        </is>
      </c>
      <c r="C22" s="443">
        <f>SUMPRODUCT((D$8:GA$8="เสื้อผ้า")*(D$9:GA$13="✗"))</f>
        <v/>
      </c>
    </row>
    <row r="23">
      <c r="B23" s="442" t="inlineStr">
        <is>
          <t>ร่างกาย</t>
        </is>
      </c>
      <c r="C23" s="443">
        <f>SUMPRODUCT((D$8:GA$8="ร่างกาย")*(D$9:GA$13="✗"))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64">
    <mergeCell ref="BB6:BH6"/>
    <mergeCell ref="C5:C8"/>
    <mergeCell ref="D5:AL5"/>
    <mergeCell ref="CE6:CK6"/>
    <mergeCell ref="CL6:CR6"/>
    <mergeCell ref="DO6:DU6"/>
    <mergeCell ref="FF7:FL7"/>
    <mergeCell ref="AM6:AM8"/>
    <mergeCell ref="K7:Q7"/>
    <mergeCell ref="FT7:FZ7"/>
    <mergeCell ref="AU7:BA7"/>
    <mergeCell ref="AF7:AL7"/>
    <mergeCell ref="BX7:CD7"/>
    <mergeCell ref="AN7:AT7"/>
    <mergeCell ref="DH6:DN6"/>
    <mergeCell ref="BP6:BV6"/>
    <mergeCell ref="CS6:CY6"/>
    <mergeCell ref="EJ7:EP7"/>
    <mergeCell ref="K6:Q6"/>
    <mergeCell ref="GA6:GA8"/>
    <mergeCell ref="DV6:EB6"/>
    <mergeCell ref="DO7:DU7"/>
    <mergeCell ref="A14:C14"/>
    <mergeCell ref="BX5:DF5"/>
    <mergeCell ref="ER7:EX7"/>
    <mergeCell ref="AN5:BV5"/>
    <mergeCell ref="BB7:BH7"/>
    <mergeCell ref="AN6:AT6"/>
    <mergeCell ref="CE7:CK7"/>
    <mergeCell ref="BP7:BV7"/>
    <mergeCell ref="ER5:FZ5"/>
    <mergeCell ref="DG6:DG8"/>
    <mergeCell ref="DH7:DN7"/>
    <mergeCell ref="CZ6:DF6"/>
    <mergeCell ref="CS7:CY7"/>
    <mergeCell ref="DV7:EB7"/>
    <mergeCell ref="EJ6:EP6"/>
    <mergeCell ref="FM6:FS6"/>
    <mergeCell ref="ER6:EX6"/>
    <mergeCell ref="EC6:EI6"/>
    <mergeCell ref="D6:J6"/>
    <mergeCell ref="FF6:FL6"/>
    <mergeCell ref="BW6:BW8"/>
    <mergeCell ref="R7:X7"/>
    <mergeCell ref="A5:A8"/>
    <mergeCell ref="DH5:EP5"/>
    <mergeCell ref="R6:X6"/>
    <mergeCell ref="BI7:BO7"/>
    <mergeCell ref="AU6:BA6"/>
    <mergeCell ref="CL7:CR7"/>
    <mergeCell ref="B5:B8"/>
    <mergeCell ref="AF6:AL6"/>
    <mergeCell ref="EY7:FE7"/>
    <mergeCell ref="BX6:CD6"/>
    <mergeCell ref="EQ6:EQ8"/>
    <mergeCell ref="CZ7:DF7"/>
    <mergeCell ref="EY6:FE6"/>
    <mergeCell ref="D7:J7"/>
    <mergeCell ref="FT6:FZ6"/>
    <mergeCell ref="FM7:FS7"/>
    <mergeCell ref="Y7:AE7"/>
    <mergeCell ref="Y6:AE6"/>
    <mergeCell ref="BI6:BO6"/>
    <mergeCell ref="EC7:EI7"/>
  </mergeCells>
  <conditionalFormatting sqref="A9:LH13">
    <cfRule type="expression" priority="1" dxfId="0" stopIfTrue="1">
      <formula>$B9=""</formula>
    </cfRule>
  </conditionalFormatting>
  <conditionalFormatting sqref="D6:GA14">
    <cfRule type="expression" priority="2" dxfId="6" stopIfTrue="1">
      <formula>D$4=0</formula>
    </cfRule>
  </conditionalFormatting>
  <conditionalFormatting sqref="D9:GA13">
    <cfRule type="expression" priority="3" dxfId="9">
      <formula>D9="ม"</formula>
    </cfRule>
    <cfRule type="expression" priority="4" dxfId="10">
      <formula>D9="ส"</formula>
    </cfRule>
    <cfRule type="expression" priority="5" dxfId="11">
      <formula>D9="ล"</formula>
    </cfRule>
    <cfRule type="expression" priority="6" dxfId="12">
      <formula>D9="ป"</formula>
    </cfRule>
    <cfRule type="expression" priority="7" dxfId="1">
      <formula>D9="ข"</formula>
    </cfRule>
    <cfRule type="expression" priority="8" dxfId="2">
      <formula>D9="✓"</formula>
    </cfRule>
    <cfRule type="expression" priority="9" dxfId="1">
      <formula>D9="✗"</formula>
    </cfRule>
    <cfRule type="expression" priority="10" dxfId="2">
      <formula>D9="ห"</formula>
    </cfRule>
    <cfRule type="expression" priority="11" dxfId="1">
      <formula>D9="ง"</formula>
    </cfRule>
  </conditionalFormatting>
  <dataValidations count="1">
    <dataValidation sqref="D9:GA13" showDropDown="0" showInputMessage="0" showErrorMessage="0" allowBlank="1" errorTitle="ตรวจสอบข้อมูล" error="ข้อมูลไม่ถูกต้อง กรุณาเลือกจากรายการ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tabColor rgb="0082C4F9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195" t="inlineStr">
        <is>
          <t>🏠</t>
        </is>
      </c>
      <c r="B1" s="196" t="n"/>
      <c r="C1" s="196" t="n"/>
      <c r="D1" s="196" t="n"/>
      <c r="E1" s="196" t="n"/>
      <c r="F1" s="196" t="n"/>
      <c r="G1" s="196" t="n"/>
      <c r="H1" s="196" t="n"/>
      <c r="I1" s="196" t="n"/>
      <c r="J1" s="196" t="n"/>
      <c r="K1" s="196" t="n"/>
      <c r="L1" s="196" t="n"/>
      <c r="M1" s="196" t="n"/>
      <c r="N1" s="196" t="n"/>
      <c r="O1" s="196" t="n"/>
      <c r="P1" s="196" t="n"/>
      <c r="Q1" s="196" t="n"/>
      <c r="R1" s="196" t="n"/>
      <c r="S1" s="196" t="n"/>
      <c r="T1" s="196" t="n"/>
      <c r="U1" s="196" t="n"/>
      <c r="V1" s="196" t="n"/>
      <c r="W1" s="196" t="n"/>
      <c r="X1" s="196" t="n"/>
      <c r="Y1" s="196" t="n"/>
      <c r="Z1" s="196" t="n"/>
      <c r="AA1" s="196" t="n"/>
      <c r="AB1" s="196" t="n"/>
      <c r="AC1" s="196" t="n"/>
      <c r="AD1" s="196" t="n"/>
      <c r="AE1" s="196" t="n"/>
      <c r="AF1" s="196" t="n"/>
      <c r="AG1" s="196" t="n"/>
      <c r="AH1" s="196" t="n"/>
      <c r="AI1" s="196" t="n"/>
      <c r="AJ1" s="196" t="n"/>
      <c r="AK1" s="196" t="n"/>
      <c r="AL1" s="196" t="n"/>
      <c r="AM1" s="196" t="n"/>
      <c r="AN1" s="196" t="n"/>
      <c r="AO1" s="196" t="n"/>
      <c r="AP1" s="196" t="n"/>
      <c r="AQ1" s="196" t="n"/>
      <c r="AR1" s="196" t="n"/>
      <c r="AS1" s="196" t="n"/>
      <c r="AT1" s="196" t="n"/>
      <c r="AU1" s="196" t="n"/>
      <c r="AV1" s="196" t="n"/>
      <c r="AW1" s="196" t="n"/>
      <c r="AX1" s="196" t="n"/>
      <c r="AY1" s="196" t="n"/>
      <c r="AZ1" s="196" t="n"/>
      <c r="BA1" s="196" t="n"/>
      <c r="BB1" s="196" t="n"/>
      <c r="BC1" s="196" t="n"/>
      <c r="BD1" s="196" t="n"/>
      <c r="BE1" s="196" t="n"/>
      <c r="BF1" s="196" t="n"/>
      <c r="BG1" s="196" t="n"/>
      <c r="BH1" s="196" t="n"/>
      <c r="BI1" s="196" t="n"/>
      <c r="BJ1" s="196" t="n"/>
      <c r="BK1" s="196" t="n"/>
      <c r="BL1" s="196" t="n"/>
      <c r="BM1" s="196" t="n"/>
      <c r="BN1" s="196" t="n"/>
      <c r="BO1" s="196" t="n"/>
      <c r="BP1" s="196" t="n"/>
      <c r="BQ1" s="196" t="n"/>
      <c r="BR1" s="196" t="n"/>
      <c r="BS1" s="196" t="n"/>
      <c r="BT1" s="196" t="n"/>
      <c r="BU1" s="196" t="n"/>
      <c r="BV1" s="196" t="n"/>
      <c r="BW1" s="196" t="n"/>
      <c r="BX1" s="196" t="n"/>
      <c r="BY1" s="196" t="n"/>
      <c r="BZ1" s="196" t="n"/>
      <c r="CA1" s="196" t="n"/>
      <c r="CB1" s="196" t="n"/>
      <c r="CC1" s="196" t="n"/>
      <c r="CD1" s="196" t="n"/>
      <c r="CE1" s="196" t="n"/>
      <c r="CF1" s="196" t="n"/>
      <c r="CG1" s="196" t="n"/>
      <c r="CH1" s="196" t="n"/>
      <c r="CI1" s="196" t="n"/>
      <c r="CJ1" s="196" t="n"/>
      <c r="CK1" s="196" t="n"/>
      <c r="CL1" s="196" t="n"/>
      <c r="CM1" s="196" t="n"/>
      <c r="CN1" s="196" t="n"/>
      <c r="CO1" s="196" t="n"/>
      <c r="CP1" s="196" t="n"/>
      <c r="CQ1" s="196" t="n"/>
      <c r="CR1" s="196" t="n"/>
      <c r="CS1" s="196" t="n"/>
      <c r="CT1" s="196" t="n"/>
      <c r="CU1" s="196" t="n"/>
      <c r="CV1" s="196" t="n"/>
      <c r="CW1" s="196" t="n"/>
      <c r="CX1" s="196" t="n"/>
      <c r="CY1" s="196" t="n"/>
      <c r="CZ1" s="196" t="n"/>
      <c r="DA1" s="196" t="n"/>
      <c r="DB1" s="196" t="n"/>
      <c r="DC1" s="196" t="n"/>
      <c r="DD1" s="196" t="n"/>
      <c r="DE1" s="196" t="n"/>
      <c r="DF1" s="196" t="n"/>
      <c r="DG1" s="196" t="n"/>
      <c r="DH1" s="196" t="n"/>
      <c r="DI1" s="196" t="n"/>
      <c r="DJ1" s="196" t="n"/>
      <c r="DK1" s="196" t="n"/>
      <c r="DL1" s="196" t="n"/>
      <c r="DM1" s="196" t="n"/>
      <c r="DN1" s="196" t="n"/>
      <c r="DO1" s="196" t="n"/>
      <c r="DP1" s="196" t="n"/>
      <c r="DQ1" s="196" t="n"/>
      <c r="DR1" s="196" t="n"/>
      <c r="DS1" s="196" t="n"/>
      <c r="DT1" s="196" t="n"/>
      <c r="DU1" s="196" t="n"/>
      <c r="DV1" s="196" t="n"/>
      <c r="DW1" s="196" t="n"/>
      <c r="DX1" s="196" t="n"/>
      <c r="DY1" s="196" t="n"/>
      <c r="DZ1" s="196" t="n"/>
      <c r="EA1" s="196" t="n"/>
      <c r="EB1" s="196" t="n"/>
      <c r="EC1" s="196" t="n"/>
      <c r="ED1" s="196" t="n"/>
      <c r="EE1" s="196" t="n"/>
      <c r="EF1" s="196" t="n"/>
      <c r="EG1" s="196" t="n"/>
      <c r="EH1" s="196" t="n"/>
      <c r="EI1" s="196" t="n"/>
      <c r="EJ1" s="196" t="n"/>
      <c r="EK1" s="196" t="n"/>
      <c r="EL1" s="196" t="n"/>
      <c r="EM1" s="196" t="n"/>
      <c r="EN1" s="196" t="n"/>
      <c r="EO1" s="196" t="n"/>
      <c r="EP1" s="196" t="n"/>
      <c r="EQ1" s="196" t="n"/>
      <c r="ER1" s="196" t="n"/>
      <c r="ES1" s="196" t="n"/>
      <c r="ET1" s="196" t="n"/>
      <c r="EU1" s="196" t="n"/>
      <c r="EV1" s="196" t="n"/>
      <c r="EW1" s="196" t="n"/>
      <c r="EX1" s="196" t="n"/>
      <c r="EY1" s="196" t="n"/>
      <c r="EZ1" s="196" t="n"/>
      <c r="FA1" s="196" t="n"/>
      <c r="FB1" s="196" t="n"/>
      <c r="FC1" s="196" t="n"/>
      <c r="FD1" s="196" t="n"/>
      <c r="FE1" s="196" t="n"/>
      <c r="FF1" s="196" t="n"/>
      <c r="FG1" s="196" t="n"/>
      <c r="FH1" s="196" t="n"/>
      <c r="FI1" s="196" t="n"/>
      <c r="FJ1" s="196" t="n"/>
      <c r="FK1" s="196" t="n"/>
      <c r="FL1" s="196" t="n"/>
      <c r="FM1" s="196" t="n"/>
      <c r="FN1" s="196" t="n"/>
      <c r="FO1" s="196" t="n"/>
      <c r="FP1" s="196" t="n"/>
      <c r="FQ1" s="196" t="n"/>
      <c r="FR1" s="196" t="n"/>
      <c r="FS1" s="196" t="n"/>
      <c r="FT1" s="196" t="n"/>
      <c r="FU1" s="196" t="n"/>
      <c r="FV1" s="196" t="n"/>
      <c r="FW1" s="196" t="n"/>
      <c r="FX1" s="196" t="n"/>
      <c r="FY1" s="196" t="n"/>
      <c r="FZ1" s="196" t="n"/>
      <c r="GA1" s="196" t="n"/>
      <c r="GB1" s="196" t="n"/>
      <c r="GC1" s="196" t="n"/>
      <c r="GD1" s="196" t="n"/>
      <c r="GE1" s="196" t="n"/>
      <c r="GF1" s="196" t="n"/>
      <c r="GG1" s="196" t="n"/>
      <c r="GH1" s="196" t="n"/>
      <c r="GI1" s="196" t="n"/>
      <c r="GJ1" s="196" t="n"/>
      <c r="GK1" s="196" t="n"/>
      <c r="GL1" s="196" t="n"/>
      <c r="GM1" s="196" t="n"/>
      <c r="GN1" s="196" t="n"/>
      <c r="GO1" s="196" t="n"/>
      <c r="GP1" s="196" t="n"/>
      <c r="GQ1" s="196" t="n"/>
      <c r="GR1" s="196" t="n"/>
      <c r="GS1" s="196" t="n"/>
      <c r="GT1" s="196" t="n"/>
      <c r="GU1" s="196" t="n"/>
      <c r="GV1" s="196" t="n"/>
      <c r="GW1" s="196" t="n"/>
      <c r="GX1" s="196" t="n"/>
      <c r="GY1" s="196" t="n"/>
    </row>
    <row r="2" ht="20" customHeight="1">
      <c r="A2" s="197" t="inlineStr">
        <is>
          <t>หน้าหลัก</t>
        </is>
      </c>
      <c r="B2" s="19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99" t="n"/>
      <c r="D2" s="199" t="n"/>
      <c r="E2" s="199" t="n"/>
      <c r="F2" s="199" t="n"/>
      <c r="G2" s="199" t="n"/>
      <c r="H2" s="199" t="n"/>
      <c r="I2" s="199" t="n"/>
      <c r="J2" s="199" t="n"/>
      <c r="K2" s="199" t="n"/>
      <c r="L2" s="199" t="n"/>
      <c r="M2" s="199" t="n"/>
      <c r="N2" s="199" t="n"/>
      <c r="O2" s="199" t="n"/>
      <c r="P2" s="199" t="n"/>
      <c r="Q2" s="199" t="n"/>
      <c r="R2" s="199" t="n"/>
      <c r="S2" s="199" t="n"/>
      <c r="T2" s="199" t="n"/>
      <c r="U2" s="199" t="n"/>
      <c r="V2" s="199" t="n"/>
      <c r="W2" s="199" t="n"/>
      <c r="X2" s="199" t="n"/>
      <c r="Y2" s="199" t="n"/>
      <c r="Z2" s="199" t="n"/>
      <c r="AA2" s="199" t="n"/>
      <c r="AB2" s="199" t="n"/>
      <c r="AC2" s="199" t="n"/>
      <c r="AD2" s="199" t="n"/>
      <c r="AE2" s="199" t="n"/>
      <c r="AF2" s="199" t="n"/>
      <c r="AG2" s="199" t="n"/>
      <c r="AH2" s="199" t="n"/>
      <c r="AI2" s="199" t="n"/>
      <c r="AJ2" s="199" t="n"/>
      <c r="AK2" s="199" t="n"/>
      <c r="AL2" s="199" t="n"/>
      <c r="AM2" s="199" t="n"/>
      <c r="AN2" s="199" t="n"/>
      <c r="AO2" s="199" t="n"/>
      <c r="AP2" s="199" t="n"/>
      <c r="AQ2" s="199" t="n"/>
      <c r="AR2" s="199" t="n"/>
      <c r="AS2" s="199" t="n"/>
      <c r="AT2" s="199" t="n"/>
      <c r="AU2" s="199" t="n"/>
      <c r="AV2" s="199" t="n"/>
      <c r="AW2" s="199" t="n"/>
      <c r="AX2" s="199" t="n"/>
      <c r="AY2" s="199" t="n"/>
      <c r="AZ2" s="199" t="n"/>
      <c r="BA2" s="199" t="n"/>
      <c r="BB2" s="199" t="n"/>
      <c r="BC2" s="199" t="n"/>
      <c r="BD2" s="199" t="n"/>
      <c r="BE2" s="199" t="n"/>
      <c r="BF2" s="199" t="n"/>
      <c r="BG2" s="199" t="n"/>
      <c r="BH2" s="199" t="n"/>
      <c r="BI2" s="199" t="n"/>
      <c r="BJ2" s="199" t="n"/>
      <c r="BK2" s="199" t="n"/>
      <c r="BL2" s="199" t="n"/>
      <c r="BM2" s="199" t="n"/>
      <c r="BN2" s="199" t="n"/>
      <c r="BO2" s="199" t="n"/>
      <c r="BP2" s="199" t="n"/>
      <c r="BQ2" s="199" t="n"/>
      <c r="BR2" s="199" t="n"/>
      <c r="BS2" s="199" t="n"/>
      <c r="BT2" s="199" t="n"/>
      <c r="BU2" s="199" t="n"/>
      <c r="BV2" s="199" t="n"/>
      <c r="BW2" s="199" t="n"/>
      <c r="BX2" s="199" t="n"/>
      <c r="BY2" s="199" t="n"/>
      <c r="BZ2" s="199" t="n"/>
      <c r="CA2" s="199" t="n"/>
      <c r="CB2" s="199" t="n"/>
      <c r="CC2" s="199" t="n"/>
      <c r="CD2" s="199" t="n"/>
      <c r="CE2" s="199" t="n"/>
      <c r="CF2" s="199" t="n"/>
      <c r="CG2" s="199" t="n"/>
      <c r="CH2" s="199" t="n"/>
      <c r="CI2" s="199" t="n"/>
      <c r="CJ2" s="199" t="n"/>
      <c r="CK2" s="199" t="n"/>
      <c r="CL2" s="199" t="n"/>
      <c r="CM2" s="199" t="n"/>
      <c r="CN2" s="199" t="n"/>
      <c r="CO2" s="199" t="n"/>
      <c r="CP2" s="199" t="n"/>
      <c r="CQ2" s="199" t="n"/>
      <c r="CR2" s="199" t="n"/>
      <c r="CS2" s="199" t="n"/>
      <c r="CT2" s="199" t="n"/>
      <c r="CU2" s="199" t="n"/>
      <c r="CV2" s="199" t="n"/>
      <c r="CW2" s="199" t="n"/>
      <c r="CX2" s="199" t="n"/>
      <c r="CY2" s="199" t="n"/>
      <c r="CZ2" s="199" t="n"/>
      <c r="DA2" s="199" t="n"/>
      <c r="DB2" s="199" t="n"/>
      <c r="DC2" s="199" t="n"/>
      <c r="DD2" s="199" t="n"/>
      <c r="DE2" s="199" t="n"/>
      <c r="DF2" s="199" t="n"/>
      <c r="DG2" s="199" t="n"/>
      <c r="DH2" s="199" t="n"/>
      <c r="DI2" s="199" t="n"/>
      <c r="DJ2" s="199" t="n"/>
      <c r="DK2" s="199" t="n"/>
      <c r="DL2" s="199" t="n"/>
      <c r="DM2" s="199" t="n"/>
      <c r="DN2" s="199" t="n"/>
      <c r="DO2" s="199" t="n"/>
      <c r="DP2" s="199" t="n"/>
      <c r="DQ2" s="199" t="n"/>
      <c r="DR2" s="199" t="n"/>
      <c r="DS2" s="199" t="n"/>
      <c r="DT2" s="199" t="n"/>
      <c r="DU2" s="199" t="n"/>
      <c r="DV2" s="199" t="n"/>
      <c r="DW2" s="199" t="n"/>
      <c r="DX2" s="199" t="n"/>
      <c r="DY2" s="199" t="n"/>
      <c r="DZ2" s="199" t="n"/>
      <c r="EA2" s="199" t="n"/>
      <c r="EB2" s="199" t="n"/>
      <c r="EC2" s="199" t="n"/>
      <c r="ED2" s="199" t="n"/>
      <c r="EE2" s="199" t="n"/>
      <c r="EF2" s="199" t="n"/>
      <c r="EG2" s="199" t="n"/>
      <c r="EH2" s="199" t="n"/>
      <c r="EI2" s="199" t="n"/>
      <c r="EJ2" s="199" t="n"/>
      <c r="EK2" s="199" t="n"/>
      <c r="EL2" s="199" t="n"/>
      <c r="EM2" s="199" t="n"/>
      <c r="EN2" s="199" t="n"/>
      <c r="EO2" s="199" t="n"/>
      <c r="EP2" s="199" t="n"/>
      <c r="EQ2" s="199" t="n"/>
      <c r="ER2" s="199" t="n"/>
      <c r="ES2" s="199" t="n"/>
      <c r="ET2" s="199" t="n"/>
      <c r="EU2" s="199" t="n"/>
      <c r="EV2" s="199" t="n"/>
      <c r="EW2" s="199" t="n"/>
      <c r="EX2" s="199" t="n"/>
      <c r="EY2" s="199" t="n"/>
      <c r="EZ2" s="199" t="n"/>
      <c r="FA2" s="199" t="n"/>
      <c r="FB2" s="199" t="n"/>
      <c r="FC2" s="199" t="n"/>
      <c r="FD2" s="199" t="n"/>
      <c r="FE2" s="199" t="n"/>
      <c r="FF2" s="199" t="n"/>
      <c r="FG2" s="199" t="n"/>
      <c r="FH2" s="199" t="n"/>
      <c r="FI2" s="199" t="n"/>
      <c r="FJ2" s="199" t="n"/>
      <c r="FK2" s="199" t="n"/>
      <c r="FL2" s="199" t="n"/>
      <c r="FM2" s="199" t="n"/>
      <c r="FN2" s="199" t="n"/>
      <c r="FO2" s="199" t="n"/>
      <c r="FP2" s="199" t="n"/>
      <c r="FQ2" s="199" t="n"/>
      <c r="FR2" s="199" t="n"/>
      <c r="FS2" s="199" t="n"/>
      <c r="FT2" s="199" t="n"/>
      <c r="FU2" s="199" t="n"/>
      <c r="FV2" s="199" t="n"/>
      <c r="FW2" s="199" t="n"/>
      <c r="FX2" s="199" t="n"/>
      <c r="FY2" s="199" t="n"/>
      <c r="FZ2" s="199" t="n"/>
      <c r="GA2" s="199" t="n"/>
      <c r="GB2" s="199" t="n"/>
      <c r="GC2" s="199" t="n"/>
      <c r="GD2" s="199" t="n"/>
      <c r="GE2" s="199" t="n"/>
      <c r="GF2" s="199" t="n"/>
      <c r="GG2" s="199" t="n"/>
      <c r="GH2" s="199" t="n"/>
      <c r="GI2" s="199" t="n"/>
      <c r="GJ2" s="199" t="n"/>
      <c r="GK2" s="199" t="n"/>
      <c r="GL2" s="199" t="n"/>
      <c r="GM2" s="199" t="n"/>
      <c r="GN2" s="199" t="n"/>
      <c r="GO2" s="199" t="n"/>
      <c r="GP2" s="199" t="n"/>
      <c r="GQ2" s="199" t="n"/>
      <c r="GR2" s="199" t="n"/>
      <c r="GS2" s="199" t="n"/>
      <c r="GT2" s="199" t="n"/>
      <c r="GU2" s="199" t="n"/>
      <c r="GV2" s="199" t="n"/>
      <c r="GW2" s="199" t="n"/>
      <c r="GX2" s="199" t="n"/>
      <c r="GY2" s="199" t="n"/>
    </row>
    <row r="3" ht="18" customHeight="1">
      <c r="B3" s="147" t="inlineStr">
        <is>
          <t>✓ = ดื่มนม     ✗ = ไม่ดื่ม      คลิกลูกศรในช่องเพื่อเลือก   •   ช่องสีเทา = นักเรียนไม่มาเรียน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444" t="inlineStr">
        <is>
          <t>เลขที่</t>
        </is>
      </c>
      <c r="B5" s="444" t="inlineStr">
        <is>
          <t>ชื่อ - สกุล</t>
        </is>
      </c>
      <c r="C5" s="445" t="inlineStr">
        <is>
          <t>ร้อยละ
ทั้งภาค</t>
        </is>
      </c>
      <c r="D5" s="446">
        <f>"เดือนพฤษภาคม  พ.ศ. "&amp;('ข้อมูลโรงเรียน'!$C$12-543+543)</f>
        <v/>
      </c>
      <c r="AI5" s="447" t="inlineStr">
        <is>
          <t>สรุป พ.ค.</t>
        </is>
      </c>
      <c r="AL5" s="446">
        <f>"เดือนมิถุนายน  พ.ศ. "&amp;('ข้อมูลโรงเรียน'!$C$12-543+543)</f>
        <v/>
      </c>
      <c r="BQ5" s="447" t="inlineStr">
        <is>
          <t>สรุป มิ.ย.</t>
        </is>
      </c>
      <c r="BT5" s="446">
        <f>"เดือนกรกฎาคม  พ.ศ. "&amp;('ข้อมูลโรงเรียน'!$C$12-543+543)</f>
        <v/>
      </c>
      <c r="CY5" s="447" t="inlineStr">
        <is>
          <t>สรุป ก.ค.</t>
        </is>
      </c>
      <c r="DB5" s="446">
        <f>"เดือนสิงหาคม  พ.ศ. "&amp;('ข้อมูลโรงเรียน'!$C$12-543+543)</f>
        <v/>
      </c>
      <c r="EG5" s="447" t="inlineStr">
        <is>
          <t>สรุป ส.ค.</t>
        </is>
      </c>
      <c r="EJ5" s="446">
        <f>"เดือนกันยายน  พ.ศ. "&amp;('ข้อมูลโรงเรียน'!$C$12-543+543)</f>
        <v/>
      </c>
      <c r="FO5" s="447" t="inlineStr">
        <is>
          <t>สรุป ก.ย.</t>
        </is>
      </c>
      <c r="FR5" s="446">
        <f>"เดือนตุลาคม  พ.ศ. "&amp;('ข้อมูลโรงเรียน'!$C$12-543+543)</f>
        <v/>
      </c>
      <c r="GW5" s="447" t="inlineStr">
        <is>
          <t>สรุป ต.ค.</t>
        </is>
      </c>
    </row>
    <row r="6">
      <c r="D6" s="448">
        <f>IF('ปฏิทิน'!D1="","",DAY('ปฏิทิน'!D1))</f>
        <v/>
      </c>
      <c r="E6" s="445">
        <f>IF('ปฏิทิน'!E1="","",DAY('ปฏิทิน'!E1))</f>
        <v/>
      </c>
      <c r="F6" s="445">
        <f>IF('ปฏิทิน'!F1="","",DAY('ปฏิทิน'!F1))</f>
        <v/>
      </c>
      <c r="G6" s="445">
        <f>IF('ปฏิทิน'!G1="","",DAY('ปฏิทิน'!G1))</f>
        <v/>
      </c>
      <c r="H6" s="445">
        <f>IF('ปฏิทิน'!H1="","",DAY('ปฏิทิน'!H1))</f>
        <v/>
      </c>
      <c r="I6" s="445">
        <f>IF('ปฏิทิน'!I1="","",DAY('ปฏิทิน'!I1))</f>
        <v/>
      </c>
      <c r="J6" s="445">
        <f>IF('ปฏิทิน'!J1="","",DAY('ปฏิทิน'!J1))</f>
        <v/>
      </c>
      <c r="K6" s="445">
        <f>IF('ปฏิทิน'!K1="","",DAY('ปฏิทิน'!K1))</f>
        <v/>
      </c>
      <c r="L6" s="445">
        <f>IF('ปฏิทิน'!L1="","",DAY('ปฏิทิน'!L1))</f>
        <v/>
      </c>
      <c r="M6" s="445">
        <f>IF('ปฏิทิน'!M1="","",DAY('ปฏิทิน'!M1))</f>
        <v/>
      </c>
      <c r="N6" s="445">
        <f>IF('ปฏิทิน'!N1="","",DAY('ปฏิทิน'!N1))</f>
        <v/>
      </c>
      <c r="O6" s="445">
        <f>IF('ปฏิทิน'!O1="","",DAY('ปฏิทิน'!O1))</f>
        <v/>
      </c>
      <c r="P6" s="445">
        <f>IF('ปฏิทิน'!P1="","",DAY('ปฏิทิน'!P1))</f>
        <v/>
      </c>
      <c r="Q6" s="445">
        <f>IF('ปฏิทิน'!Q1="","",DAY('ปฏิทิน'!Q1))</f>
        <v/>
      </c>
      <c r="R6" s="445">
        <f>IF('ปฏิทิน'!R1="","",DAY('ปฏิทิน'!R1))</f>
        <v/>
      </c>
      <c r="S6" s="445">
        <f>IF('ปฏิทิน'!S1="","",DAY('ปฏิทิน'!S1))</f>
        <v/>
      </c>
      <c r="T6" s="445">
        <f>IF('ปฏิทิน'!T1="","",DAY('ปฏิทิน'!T1))</f>
        <v/>
      </c>
      <c r="U6" s="445">
        <f>IF('ปฏิทิน'!U1="","",DAY('ปฏิทิน'!U1))</f>
        <v/>
      </c>
      <c r="V6" s="445">
        <f>IF('ปฏิทิน'!V1="","",DAY('ปฏิทิน'!V1))</f>
        <v/>
      </c>
      <c r="W6" s="445">
        <f>IF('ปฏิทิน'!W1="","",DAY('ปฏิทิน'!W1))</f>
        <v/>
      </c>
      <c r="X6" s="445">
        <f>IF('ปฏิทิน'!X1="","",DAY('ปฏิทิน'!X1))</f>
        <v/>
      </c>
      <c r="Y6" s="445">
        <f>IF('ปฏิทิน'!Y1="","",DAY('ปฏิทิน'!Y1))</f>
        <v/>
      </c>
      <c r="Z6" s="445">
        <f>IF('ปฏิทิน'!Z1="","",DAY('ปฏิทิน'!Z1))</f>
        <v/>
      </c>
      <c r="AA6" s="445">
        <f>IF('ปฏิทิน'!AA1="","",DAY('ปฏิทิน'!AA1))</f>
        <v/>
      </c>
      <c r="AB6" s="445">
        <f>IF('ปฏิทิน'!AB1="","",DAY('ปฏิทิน'!AB1))</f>
        <v/>
      </c>
      <c r="AC6" s="445">
        <f>IF('ปฏิทิน'!AC1="","",DAY('ปฏิทิน'!AC1))</f>
        <v/>
      </c>
      <c r="AD6" s="445">
        <f>IF('ปฏิทิน'!AD1="","",DAY('ปฏิทิน'!AD1))</f>
        <v/>
      </c>
      <c r="AE6" s="445">
        <f>IF('ปฏิทิน'!AE1="","",DAY('ปฏิทิน'!AE1))</f>
        <v/>
      </c>
      <c r="AF6" s="445">
        <f>IF('ปฏิทิน'!AF1="","",DAY('ปฏิทิน'!AF1))</f>
        <v/>
      </c>
      <c r="AG6" s="445">
        <f>IF('ปฏิทิน'!AG1="","",DAY('ปฏิทิน'!AG1))</f>
        <v/>
      </c>
      <c r="AH6" s="445">
        <f>IF('ปฏิทิน'!AH1="","",DAY('ปฏิทิน'!AH1))</f>
        <v/>
      </c>
      <c r="AI6" s="449" t="inlineStr">
        <is>
          <t>ดื่ม</t>
        </is>
      </c>
      <c r="AJ6" s="450" t="inlineStr">
        <is>
          <t>ไม่
ดื่ม</t>
        </is>
      </c>
      <c r="AK6" s="451" t="inlineStr">
        <is>
          <t>ร้อยละ</t>
        </is>
      </c>
      <c r="AL6" s="448">
        <f>IF('ปฏิทิน'!AL1="","",DAY('ปฏิทิน'!AL1))</f>
        <v/>
      </c>
      <c r="AM6" s="445">
        <f>IF('ปฏิทิน'!AM1="","",DAY('ปฏิทิน'!AM1))</f>
        <v/>
      </c>
      <c r="AN6" s="445">
        <f>IF('ปฏิทิน'!AN1="","",DAY('ปฏิทิน'!AN1))</f>
        <v/>
      </c>
      <c r="AO6" s="445">
        <f>IF('ปฏิทิน'!AO1="","",DAY('ปฏิทิน'!AO1))</f>
        <v/>
      </c>
      <c r="AP6" s="445">
        <f>IF('ปฏิทิน'!AP1="","",DAY('ปฏิทิน'!AP1))</f>
        <v/>
      </c>
      <c r="AQ6" s="445">
        <f>IF('ปฏิทิน'!AQ1="","",DAY('ปฏิทิน'!AQ1))</f>
        <v/>
      </c>
      <c r="AR6" s="445">
        <f>IF('ปฏิทิน'!AR1="","",DAY('ปฏิทิน'!AR1))</f>
        <v/>
      </c>
      <c r="AS6" s="445">
        <f>IF('ปฏิทิน'!AS1="","",DAY('ปฏิทิน'!AS1))</f>
        <v/>
      </c>
      <c r="AT6" s="445">
        <f>IF('ปฏิทิน'!AT1="","",DAY('ปฏิทิน'!AT1))</f>
        <v/>
      </c>
      <c r="AU6" s="445">
        <f>IF('ปฏิทิน'!AU1="","",DAY('ปฏิทิน'!AU1))</f>
        <v/>
      </c>
      <c r="AV6" s="445">
        <f>IF('ปฏิทิน'!AV1="","",DAY('ปฏิทิน'!AV1))</f>
        <v/>
      </c>
      <c r="AW6" s="445">
        <f>IF('ปฏิทิน'!AW1="","",DAY('ปฏิทิน'!AW1))</f>
        <v/>
      </c>
      <c r="AX6" s="445">
        <f>IF('ปฏิทิน'!AX1="","",DAY('ปฏิทิน'!AX1))</f>
        <v/>
      </c>
      <c r="AY6" s="445">
        <f>IF('ปฏิทิน'!AY1="","",DAY('ปฏิทิน'!AY1))</f>
        <v/>
      </c>
      <c r="AZ6" s="445">
        <f>IF('ปฏิทิน'!AZ1="","",DAY('ปฏิทิน'!AZ1))</f>
        <v/>
      </c>
      <c r="BA6" s="445">
        <f>IF('ปฏิทิน'!BA1="","",DAY('ปฏิทิน'!BA1))</f>
        <v/>
      </c>
      <c r="BB6" s="445">
        <f>IF('ปฏิทิน'!BB1="","",DAY('ปฏิทิน'!BB1))</f>
        <v/>
      </c>
      <c r="BC6" s="445">
        <f>IF('ปฏิทิน'!BC1="","",DAY('ปฏิทิน'!BC1))</f>
        <v/>
      </c>
      <c r="BD6" s="445">
        <f>IF('ปฏิทิน'!BD1="","",DAY('ปฏิทิน'!BD1))</f>
        <v/>
      </c>
      <c r="BE6" s="445">
        <f>IF('ปฏิทิน'!BE1="","",DAY('ปฏิทิน'!BE1))</f>
        <v/>
      </c>
      <c r="BF6" s="445">
        <f>IF('ปฏิทิน'!BF1="","",DAY('ปฏิทิน'!BF1))</f>
        <v/>
      </c>
      <c r="BG6" s="445">
        <f>IF('ปฏิทิน'!BG1="","",DAY('ปฏิทิน'!BG1))</f>
        <v/>
      </c>
      <c r="BH6" s="445">
        <f>IF('ปฏิทิน'!BH1="","",DAY('ปฏิทิน'!BH1))</f>
        <v/>
      </c>
      <c r="BI6" s="445">
        <f>IF('ปฏิทิน'!BI1="","",DAY('ปฏิทิน'!BI1))</f>
        <v/>
      </c>
      <c r="BJ6" s="445">
        <f>IF('ปฏิทิน'!BJ1="","",DAY('ปฏิทิน'!BJ1))</f>
        <v/>
      </c>
      <c r="BK6" s="445">
        <f>IF('ปฏิทิน'!BK1="","",DAY('ปฏิทิน'!BK1))</f>
        <v/>
      </c>
      <c r="BL6" s="445">
        <f>IF('ปฏิทิน'!BL1="","",DAY('ปฏิทิน'!BL1))</f>
        <v/>
      </c>
      <c r="BM6" s="445">
        <f>IF('ปฏิทิน'!BM1="","",DAY('ปฏิทิน'!BM1))</f>
        <v/>
      </c>
      <c r="BN6" s="445">
        <f>IF('ปฏิทิน'!BN1="","",DAY('ปฏิทิน'!BN1))</f>
        <v/>
      </c>
      <c r="BO6" s="445">
        <f>IF('ปฏิทิน'!BO1="","",DAY('ปฏิทิน'!BO1))</f>
        <v/>
      </c>
      <c r="BP6" s="445">
        <f>IF('ปฏิทิน'!BP1="","",DAY('ปฏิทิน'!BP1))</f>
        <v/>
      </c>
      <c r="BQ6" s="449" t="inlineStr">
        <is>
          <t>ดื่ม</t>
        </is>
      </c>
      <c r="BR6" s="450" t="inlineStr">
        <is>
          <t>ไม่
ดื่ม</t>
        </is>
      </c>
      <c r="BS6" s="451" t="inlineStr">
        <is>
          <t>ร้อยละ</t>
        </is>
      </c>
      <c r="BT6" s="448">
        <f>IF('ปฏิทิน'!BT1="","",DAY('ปฏิทิน'!BT1))</f>
        <v/>
      </c>
      <c r="BU6" s="445">
        <f>IF('ปฏิทิน'!BU1="","",DAY('ปฏิทิน'!BU1))</f>
        <v/>
      </c>
      <c r="BV6" s="445">
        <f>IF('ปฏิทิน'!BV1="","",DAY('ปฏิทิน'!BV1))</f>
        <v/>
      </c>
      <c r="BW6" s="445">
        <f>IF('ปฏิทิน'!BW1="","",DAY('ปฏิทิน'!BW1))</f>
        <v/>
      </c>
      <c r="BX6" s="445">
        <f>IF('ปฏิทิน'!BX1="","",DAY('ปฏิทิน'!BX1))</f>
        <v/>
      </c>
      <c r="BY6" s="445">
        <f>IF('ปฏิทิน'!BY1="","",DAY('ปฏิทิน'!BY1))</f>
        <v/>
      </c>
      <c r="BZ6" s="445">
        <f>IF('ปฏิทิน'!BZ1="","",DAY('ปฏิทิน'!BZ1))</f>
        <v/>
      </c>
      <c r="CA6" s="445">
        <f>IF('ปฏิทิน'!CA1="","",DAY('ปฏิทิน'!CA1))</f>
        <v/>
      </c>
      <c r="CB6" s="445">
        <f>IF('ปฏิทิน'!CB1="","",DAY('ปฏิทิน'!CB1))</f>
        <v/>
      </c>
      <c r="CC6" s="445">
        <f>IF('ปฏิทิน'!CC1="","",DAY('ปฏิทิน'!CC1))</f>
        <v/>
      </c>
      <c r="CD6" s="445">
        <f>IF('ปฏิทิน'!CD1="","",DAY('ปฏิทิน'!CD1))</f>
        <v/>
      </c>
      <c r="CE6" s="445">
        <f>IF('ปฏิทิน'!CE1="","",DAY('ปฏิทิน'!CE1))</f>
        <v/>
      </c>
      <c r="CF6" s="445">
        <f>IF('ปฏิทิน'!CF1="","",DAY('ปฏิทิน'!CF1))</f>
        <v/>
      </c>
      <c r="CG6" s="445">
        <f>IF('ปฏิทิน'!CG1="","",DAY('ปฏิทิน'!CG1))</f>
        <v/>
      </c>
      <c r="CH6" s="445">
        <f>IF('ปฏิทิน'!CH1="","",DAY('ปฏิทิน'!CH1))</f>
        <v/>
      </c>
      <c r="CI6" s="445">
        <f>IF('ปฏิทิน'!CI1="","",DAY('ปฏิทิน'!CI1))</f>
        <v/>
      </c>
      <c r="CJ6" s="445">
        <f>IF('ปฏิทิน'!CJ1="","",DAY('ปฏิทิน'!CJ1))</f>
        <v/>
      </c>
      <c r="CK6" s="445">
        <f>IF('ปฏิทิน'!CK1="","",DAY('ปฏิทิน'!CK1))</f>
        <v/>
      </c>
      <c r="CL6" s="445">
        <f>IF('ปฏิทิน'!CL1="","",DAY('ปฏิทิน'!CL1))</f>
        <v/>
      </c>
      <c r="CM6" s="445">
        <f>IF('ปฏิทิน'!CM1="","",DAY('ปฏิทิน'!CM1))</f>
        <v/>
      </c>
      <c r="CN6" s="445">
        <f>IF('ปฏิทิน'!CN1="","",DAY('ปฏิทิน'!CN1))</f>
        <v/>
      </c>
      <c r="CO6" s="445">
        <f>IF('ปฏิทิน'!CO1="","",DAY('ปฏิทิน'!CO1))</f>
        <v/>
      </c>
      <c r="CP6" s="445">
        <f>IF('ปฏิทิน'!CP1="","",DAY('ปฏิทิน'!CP1))</f>
        <v/>
      </c>
      <c r="CQ6" s="445">
        <f>IF('ปฏิทิน'!CQ1="","",DAY('ปฏิทิน'!CQ1))</f>
        <v/>
      </c>
      <c r="CR6" s="445">
        <f>IF('ปฏิทิน'!CR1="","",DAY('ปฏิทิน'!CR1))</f>
        <v/>
      </c>
      <c r="CS6" s="445">
        <f>IF('ปฏิทิน'!CS1="","",DAY('ปฏิทิน'!CS1))</f>
        <v/>
      </c>
      <c r="CT6" s="445">
        <f>IF('ปฏิทิน'!CT1="","",DAY('ปฏิทิน'!CT1))</f>
        <v/>
      </c>
      <c r="CU6" s="445">
        <f>IF('ปฏิทิน'!CU1="","",DAY('ปฏิทิน'!CU1))</f>
        <v/>
      </c>
      <c r="CV6" s="445">
        <f>IF('ปฏิทิน'!CV1="","",DAY('ปฏิทิน'!CV1))</f>
        <v/>
      </c>
      <c r="CW6" s="445">
        <f>IF('ปฏิทิน'!CW1="","",DAY('ปฏิทิน'!CW1))</f>
        <v/>
      </c>
      <c r="CX6" s="445">
        <f>IF('ปฏิทิน'!CX1="","",DAY('ปฏิทิน'!CX1))</f>
        <v/>
      </c>
      <c r="CY6" s="449" t="inlineStr">
        <is>
          <t>ดื่ม</t>
        </is>
      </c>
      <c r="CZ6" s="450" t="inlineStr">
        <is>
          <t>ไม่
ดื่ม</t>
        </is>
      </c>
      <c r="DA6" s="451" t="inlineStr">
        <is>
          <t>ร้อยละ</t>
        </is>
      </c>
      <c r="DB6" s="448">
        <f>IF('ปฏิทิน'!DB1="","",DAY('ปฏิทิน'!DB1))</f>
        <v/>
      </c>
      <c r="DC6" s="445">
        <f>IF('ปฏิทิน'!DC1="","",DAY('ปฏิทิน'!DC1))</f>
        <v/>
      </c>
      <c r="DD6" s="445">
        <f>IF('ปฏิทิน'!DD1="","",DAY('ปฏิทิน'!DD1))</f>
        <v/>
      </c>
      <c r="DE6" s="445">
        <f>IF('ปฏิทิน'!DE1="","",DAY('ปฏิทิน'!DE1))</f>
        <v/>
      </c>
      <c r="DF6" s="445">
        <f>IF('ปฏิทิน'!DF1="","",DAY('ปฏิทิน'!DF1))</f>
        <v/>
      </c>
      <c r="DG6" s="445">
        <f>IF('ปฏิทิน'!DG1="","",DAY('ปฏิทิน'!DG1))</f>
        <v/>
      </c>
      <c r="DH6" s="445">
        <f>IF('ปฏิทิน'!DH1="","",DAY('ปฏิทิน'!DH1))</f>
        <v/>
      </c>
      <c r="DI6" s="445">
        <f>IF('ปฏิทิน'!DI1="","",DAY('ปฏิทิน'!DI1))</f>
        <v/>
      </c>
      <c r="DJ6" s="445">
        <f>IF('ปฏิทิน'!DJ1="","",DAY('ปฏิทิน'!DJ1))</f>
        <v/>
      </c>
      <c r="DK6" s="445">
        <f>IF('ปฏิทิน'!DK1="","",DAY('ปฏิทิน'!DK1))</f>
        <v/>
      </c>
      <c r="DL6" s="445">
        <f>IF('ปฏิทิน'!DL1="","",DAY('ปฏิทิน'!DL1))</f>
        <v/>
      </c>
      <c r="DM6" s="445">
        <f>IF('ปฏิทิน'!DM1="","",DAY('ปฏิทิน'!DM1))</f>
        <v/>
      </c>
      <c r="DN6" s="445">
        <f>IF('ปฏิทิน'!DN1="","",DAY('ปฏิทิน'!DN1))</f>
        <v/>
      </c>
      <c r="DO6" s="445">
        <f>IF('ปฏิทิน'!DO1="","",DAY('ปฏิทิน'!DO1))</f>
        <v/>
      </c>
      <c r="DP6" s="445">
        <f>IF('ปฏิทิน'!DP1="","",DAY('ปฏิทิน'!DP1))</f>
        <v/>
      </c>
      <c r="DQ6" s="445">
        <f>IF('ปฏิทิน'!DQ1="","",DAY('ปฏิทิน'!DQ1))</f>
        <v/>
      </c>
      <c r="DR6" s="445">
        <f>IF('ปฏิทิน'!DR1="","",DAY('ปฏิทิน'!DR1))</f>
        <v/>
      </c>
      <c r="DS6" s="445">
        <f>IF('ปฏิทิน'!DS1="","",DAY('ปฏิทิน'!DS1))</f>
        <v/>
      </c>
      <c r="DT6" s="445">
        <f>IF('ปฏิทิน'!DT1="","",DAY('ปฏิทิน'!DT1))</f>
        <v/>
      </c>
      <c r="DU6" s="445">
        <f>IF('ปฏิทิน'!DU1="","",DAY('ปฏิทิน'!DU1))</f>
        <v/>
      </c>
      <c r="DV6" s="445">
        <f>IF('ปฏิทิน'!DV1="","",DAY('ปฏิทิน'!DV1))</f>
        <v/>
      </c>
      <c r="DW6" s="445">
        <f>IF('ปฏิทิน'!DW1="","",DAY('ปฏิทิน'!DW1))</f>
        <v/>
      </c>
      <c r="DX6" s="445">
        <f>IF('ปฏิทิน'!DX1="","",DAY('ปฏิทิน'!DX1))</f>
        <v/>
      </c>
      <c r="DY6" s="445">
        <f>IF('ปฏิทิน'!DY1="","",DAY('ปฏิทิน'!DY1))</f>
        <v/>
      </c>
      <c r="DZ6" s="445">
        <f>IF('ปฏิทิน'!DZ1="","",DAY('ปฏิทิน'!DZ1))</f>
        <v/>
      </c>
      <c r="EA6" s="445">
        <f>IF('ปฏิทิน'!EA1="","",DAY('ปฏิทิน'!EA1))</f>
        <v/>
      </c>
      <c r="EB6" s="445">
        <f>IF('ปฏิทิน'!EB1="","",DAY('ปฏิทิน'!EB1))</f>
        <v/>
      </c>
      <c r="EC6" s="445">
        <f>IF('ปฏิทิน'!EC1="","",DAY('ปฏิทิน'!EC1))</f>
        <v/>
      </c>
      <c r="ED6" s="445">
        <f>IF('ปฏิทิน'!ED1="","",DAY('ปฏิทิน'!ED1))</f>
        <v/>
      </c>
      <c r="EE6" s="445">
        <f>IF('ปฏิทิน'!EE1="","",DAY('ปฏิทิน'!EE1))</f>
        <v/>
      </c>
      <c r="EF6" s="445">
        <f>IF('ปฏิทิน'!EF1="","",DAY('ปฏิทิน'!EF1))</f>
        <v/>
      </c>
      <c r="EG6" s="449" t="inlineStr">
        <is>
          <t>ดื่ม</t>
        </is>
      </c>
      <c r="EH6" s="450" t="inlineStr">
        <is>
          <t>ไม่
ดื่ม</t>
        </is>
      </c>
      <c r="EI6" s="451" t="inlineStr">
        <is>
          <t>ร้อยละ</t>
        </is>
      </c>
      <c r="EJ6" s="448">
        <f>IF('ปฏิทิน'!EJ1="","",DAY('ปฏิทิน'!EJ1))</f>
        <v/>
      </c>
      <c r="EK6" s="445">
        <f>IF('ปฏิทิน'!EK1="","",DAY('ปฏิทิน'!EK1))</f>
        <v/>
      </c>
      <c r="EL6" s="445">
        <f>IF('ปฏิทิน'!EL1="","",DAY('ปฏิทิน'!EL1))</f>
        <v/>
      </c>
      <c r="EM6" s="445">
        <f>IF('ปฏิทิน'!EM1="","",DAY('ปฏิทิน'!EM1))</f>
        <v/>
      </c>
      <c r="EN6" s="445">
        <f>IF('ปฏิทิน'!EN1="","",DAY('ปฏิทิน'!EN1))</f>
        <v/>
      </c>
      <c r="EO6" s="445">
        <f>IF('ปฏิทิน'!EO1="","",DAY('ปฏิทิน'!EO1))</f>
        <v/>
      </c>
      <c r="EP6" s="445">
        <f>IF('ปฏิทิน'!EP1="","",DAY('ปฏิทิน'!EP1))</f>
        <v/>
      </c>
      <c r="EQ6" s="445">
        <f>IF('ปฏิทิน'!EQ1="","",DAY('ปฏิทิน'!EQ1))</f>
        <v/>
      </c>
      <c r="ER6" s="445">
        <f>IF('ปฏิทิน'!ER1="","",DAY('ปฏิทิน'!ER1))</f>
        <v/>
      </c>
      <c r="ES6" s="445">
        <f>IF('ปฏิทิน'!ES1="","",DAY('ปฏิทิน'!ES1))</f>
        <v/>
      </c>
      <c r="ET6" s="445">
        <f>IF('ปฏิทิน'!ET1="","",DAY('ปฏิทิน'!ET1))</f>
        <v/>
      </c>
      <c r="EU6" s="445">
        <f>IF('ปฏิทิน'!EU1="","",DAY('ปฏิทิน'!EU1))</f>
        <v/>
      </c>
      <c r="EV6" s="445">
        <f>IF('ปฏิทิน'!EV1="","",DAY('ปฏิทิน'!EV1))</f>
        <v/>
      </c>
      <c r="EW6" s="445">
        <f>IF('ปฏิทิน'!EW1="","",DAY('ปฏิทิน'!EW1))</f>
        <v/>
      </c>
      <c r="EX6" s="445">
        <f>IF('ปฏิทิน'!EX1="","",DAY('ปฏิทิน'!EX1))</f>
        <v/>
      </c>
      <c r="EY6" s="445">
        <f>IF('ปฏิทิน'!EY1="","",DAY('ปฏิทิน'!EY1))</f>
        <v/>
      </c>
      <c r="EZ6" s="445">
        <f>IF('ปฏิทิน'!EZ1="","",DAY('ปฏิทิน'!EZ1))</f>
        <v/>
      </c>
      <c r="FA6" s="445">
        <f>IF('ปฏิทิน'!FA1="","",DAY('ปฏิทิน'!FA1))</f>
        <v/>
      </c>
      <c r="FB6" s="445">
        <f>IF('ปฏิทิน'!FB1="","",DAY('ปฏิทิน'!FB1))</f>
        <v/>
      </c>
      <c r="FC6" s="445">
        <f>IF('ปฏิทิน'!FC1="","",DAY('ปฏิทิน'!FC1))</f>
        <v/>
      </c>
      <c r="FD6" s="445">
        <f>IF('ปฏิทิน'!FD1="","",DAY('ปฏิทิน'!FD1))</f>
        <v/>
      </c>
      <c r="FE6" s="445">
        <f>IF('ปฏิทิน'!FE1="","",DAY('ปฏิทิน'!FE1))</f>
        <v/>
      </c>
      <c r="FF6" s="445">
        <f>IF('ปฏิทิน'!FF1="","",DAY('ปฏิทิน'!FF1))</f>
        <v/>
      </c>
      <c r="FG6" s="445">
        <f>IF('ปฏิทิน'!FG1="","",DAY('ปฏิทิน'!FG1))</f>
        <v/>
      </c>
      <c r="FH6" s="445">
        <f>IF('ปฏิทิน'!FH1="","",DAY('ปฏิทิน'!FH1))</f>
        <v/>
      </c>
      <c r="FI6" s="445">
        <f>IF('ปฏิทิน'!FI1="","",DAY('ปฏิทิน'!FI1))</f>
        <v/>
      </c>
      <c r="FJ6" s="445">
        <f>IF('ปฏิทิน'!FJ1="","",DAY('ปฏิทิน'!FJ1))</f>
        <v/>
      </c>
      <c r="FK6" s="445">
        <f>IF('ปฏิทิน'!FK1="","",DAY('ปฏิทิน'!FK1))</f>
        <v/>
      </c>
      <c r="FL6" s="445">
        <f>IF('ปฏิทิน'!FL1="","",DAY('ปฏิทิน'!FL1))</f>
        <v/>
      </c>
      <c r="FM6" s="445">
        <f>IF('ปฏิทิน'!FM1="","",DAY('ปฏิทิน'!FM1))</f>
        <v/>
      </c>
      <c r="FN6" s="445">
        <f>IF('ปฏิทิน'!FN1="","",DAY('ปฏิทิน'!FN1))</f>
        <v/>
      </c>
      <c r="FO6" s="449" t="inlineStr">
        <is>
          <t>ดื่ม</t>
        </is>
      </c>
      <c r="FP6" s="450" t="inlineStr">
        <is>
          <t>ไม่
ดื่ม</t>
        </is>
      </c>
      <c r="FQ6" s="451" t="inlineStr">
        <is>
          <t>ร้อยละ</t>
        </is>
      </c>
      <c r="FR6" s="448">
        <f>IF('ปฏิทิน'!FR1="","",DAY('ปฏิทิน'!FR1))</f>
        <v/>
      </c>
      <c r="FS6" s="445">
        <f>IF('ปฏิทิน'!FS1="","",DAY('ปฏิทิน'!FS1))</f>
        <v/>
      </c>
      <c r="FT6" s="445">
        <f>IF('ปฏิทิน'!FT1="","",DAY('ปฏิทิน'!FT1))</f>
        <v/>
      </c>
      <c r="FU6" s="445">
        <f>IF('ปฏิทิน'!FU1="","",DAY('ปฏิทิน'!FU1))</f>
        <v/>
      </c>
      <c r="FV6" s="445">
        <f>IF('ปฏิทิน'!FV1="","",DAY('ปฏิทิน'!FV1))</f>
        <v/>
      </c>
      <c r="FW6" s="445">
        <f>IF('ปฏิทิน'!FW1="","",DAY('ปฏิทิน'!FW1))</f>
        <v/>
      </c>
      <c r="FX6" s="445">
        <f>IF('ปฏิทิน'!FX1="","",DAY('ปฏิทิน'!FX1))</f>
        <v/>
      </c>
      <c r="FY6" s="445">
        <f>IF('ปฏิทิน'!FY1="","",DAY('ปฏิทิน'!FY1))</f>
        <v/>
      </c>
      <c r="FZ6" s="445">
        <f>IF('ปฏิทิน'!FZ1="","",DAY('ปฏิทิน'!FZ1))</f>
        <v/>
      </c>
      <c r="GA6" s="445">
        <f>IF('ปฏิทิน'!GA1="","",DAY('ปฏิทิน'!GA1))</f>
        <v/>
      </c>
      <c r="GB6" s="445">
        <f>IF('ปฏิทิน'!GB1="","",DAY('ปฏิทิน'!GB1))</f>
        <v/>
      </c>
      <c r="GC6" s="445">
        <f>IF('ปฏิทิน'!GC1="","",DAY('ปฏิทิน'!GC1))</f>
        <v/>
      </c>
      <c r="GD6" s="445">
        <f>IF('ปฏิทิน'!GD1="","",DAY('ปฏิทิน'!GD1))</f>
        <v/>
      </c>
      <c r="GE6" s="445">
        <f>IF('ปฏิทิน'!GE1="","",DAY('ปฏิทิน'!GE1))</f>
        <v/>
      </c>
      <c r="GF6" s="445">
        <f>IF('ปฏิทิน'!GF1="","",DAY('ปฏิทิน'!GF1))</f>
        <v/>
      </c>
      <c r="GG6" s="445">
        <f>IF('ปฏิทิน'!GG1="","",DAY('ปฏิทิน'!GG1))</f>
        <v/>
      </c>
      <c r="GH6" s="445">
        <f>IF('ปฏิทิน'!GH1="","",DAY('ปฏิทิน'!GH1))</f>
        <v/>
      </c>
      <c r="GI6" s="445">
        <f>IF('ปฏิทิน'!GI1="","",DAY('ปฏิทิน'!GI1))</f>
        <v/>
      </c>
      <c r="GJ6" s="445">
        <f>IF('ปฏิทิน'!GJ1="","",DAY('ปฏิทิน'!GJ1))</f>
        <v/>
      </c>
      <c r="GK6" s="445">
        <f>IF('ปฏิทิน'!GK1="","",DAY('ปฏิทิน'!GK1))</f>
        <v/>
      </c>
      <c r="GL6" s="445">
        <f>IF('ปฏิทิน'!GL1="","",DAY('ปฏิทิน'!GL1))</f>
        <v/>
      </c>
      <c r="GM6" s="445">
        <f>IF('ปฏิทิน'!GM1="","",DAY('ปฏิทิน'!GM1))</f>
        <v/>
      </c>
      <c r="GN6" s="445">
        <f>IF('ปฏิทิน'!GN1="","",DAY('ปฏิทิน'!GN1))</f>
        <v/>
      </c>
      <c r="GO6" s="445">
        <f>IF('ปฏิทิน'!GO1="","",DAY('ปฏิทิน'!GO1))</f>
        <v/>
      </c>
      <c r="GP6" s="445">
        <f>IF('ปฏิทิน'!GP1="","",DAY('ปฏิทิน'!GP1))</f>
        <v/>
      </c>
      <c r="GQ6" s="445">
        <f>IF('ปฏิทิน'!GQ1="","",DAY('ปฏิทิน'!GQ1))</f>
        <v/>
      </c>
      <c r="GR6" s="445">
        <f>IF('ปฏิทิน'!GR1="","",DAY('ปฏิทิน'!GR1))</f>
        <v/>
      </c>
      <c r="GS6" s="445">
        <f>IF('ปฏิทิน'!GS1="","",DAY('ปฏิทิน'!GS1))</f>
        <v/>
      </c>
      <c r="GT6" s="445">
        <f>IF('ปฏิทิน'!GT1="","",DAY('ปฏิทิน'!GT1))</f>
        <v/>
      </c>
      <c r="GU6" s="445">
        <f>IF('ปฏิทิน'!GU1="","",DAY('ปฏิทิน'!GU1))</f>
        <v/>
      </c>
      <c r="GV6" s="445">
        <f>IF('ปฏิทิน'!GV1="","",DAY('ปฏิทิน'!GV1))</f>
        <v/>
      </c>
      <c r="GW6" s="449" t="inlineStr">
        <is>
          <t>ดื่ม</t>
        </is>
      </c>
      <c r="GX6" s="450" t="inlineStr">
        <is>
          <t>ไม่
ดื่ม</t>
        </is>
      </c>
      <c r="GY6" s="451" t="inlineStr">
        <is>
          <t>ร้อยละ</t>
        </is>
      </c>
    </row>
    <row r="7">
      <c r="D7" s="452">
        <f>IF('ปฏิทิน'!D1="","",CHOOSE(WEEKDAY('ปฏิทิน'!D1,2),"จ.","อ.","พ.","พฤ.","ศ.","ส.","อา."))</f>
        <v/>
      </c>
      <c r="E7" s="453">
        <f>IF('ปฏิทิน'!E1="","",CHOOSE(WEEKDAY('ปฏิทิน'!E1,2),"จ.","อ.","พ.","พฤ.","ศ.","ส.","อา."))</f>
        <v/>
      </c>
      <c r="F7" s="453">
        <f>IF('ปฏิทิน'!F1="","",CHOOSE(WEEKDAY('ปฏิทิน'!F1,2),"จ.","อ.","พ.","พฤ.","ศ.","ส.","อา."))</f>
        <v/>
      </c>
      <c r="G7" s="453">
        <f>IF('ปฏิทิน'!G1="","",CHOOSE(WEEKDAY('ปฏิทิน'!G1,2),"จ.","อ.","พ.","พฤ.","ศ.","ส.","อา."))</f>
        <v/>
      </c>
      <c r="H7" s="453">
        <f>IF('ปฏิทิน'!H1="","",CHOOSE(WEEKDAY('ปฏิทิน'!H1,2),"จ.","อ.","พ.","พฤ.","ศ.","ส.","อา."))</f>
        <v/>
      </c>
      <c r="I7" s="453">
        <f>IF('ปฏิทิน'!I1="","",CHOOSE(WEEKDAY('ปฏิทิน'!I1,2),"จ.","อ.","พ.","พฤ.","ศ.","ส.","อา."))</f>
        <v/>
      </c>
      <c r="J7" s="453">
        <f>IF('ปฏิทิน'!J1="","",CHOOSE(WEEKDAY('ปฏิทิน'!J1,2),"จ.","อ.","พ.","พฤ.","ศ.","ส.","อา."))</f>
        <v/>
      </c>
      <c r="K7" s="453">
        <f>IF('ปฏิทิน'!K1="","",CHOOSE(WEEKDAY('ปฏิทิน'!K1,2),"จ.","อ.","พ.","พฤ.","ศ.","ส.","อา."))</f>
        <v/>
      </c>
      <c r="L7" s="453">
        <f>IF('ปฏิทิน'!L1="","",CHOOSE(WEEKDAY('ปฏิทิน'!L1,2),"จ.","อ.","พ.","พฤ.","ศ.","ส.","อา."))</f>
        <v/>
      </c>
      <c r="M7" s="453">
        <f>IF('ปฏิทิน'!M1="","",CHOOSE(WEEKDAY('ปฏิทิน'!M1,2),"จ.","อ.","พ.","พฤ.","ศ.","ส.","อา."))</f>
        <v/>
      </c>
      <c r="N7" s="453">
        <f>IF('ปฏิทิน'!N1="","",CHOOSE(WEEKDAY('ปฏิทิน'!N1,2),"จ.","อ.","พ.","พฤ.","ศ.","ส.","อา."))</f>
        <v/>
      </c>
      <c r="O7" s="453">
        <f>IF('ปฏิทิน'!O1="","",CHOOSE(WEEKDAY('ปฏิทิน'!O1,2),"จ.","อ.","พ.","พฤ.","ศ.","ส.","อา."))</f>
        <v/>
      </c>
      <c r="P7" s="453">
        <f>IF('ปฏิทิน'!P1="","",CHOOSE(WEEKDAY('ปฏิทิน'!P1,2),"จ.","อ.","พ.","พฤ.","ศ.","ส.","อา."))</f>
        <v/>
      </c>
      <c r="Q7" s="453">
        <f>IF('ปฏิทิน'!Q1="","",CHOOSE(WEEKDAY('ปฏิทิน'!Q1,2),"จ.","อ.","พ.","พฤ.","ศ.","ส.","อา."))</f>
        <v/>
      </c>
      <c r="R7" s="453">
        <f>IF('ปฏิทิน'!R1="","",CHOOSE(WEEKDAY('ปฏิทิน'!R1,2),"จ.","อ.","พ.","พฤ.","ศ.","ส.","อา."))</f>
        <v/>
      </c>
      <c r="S7" s="453">
        <f>IF('ปฏิทิน'!S1="","",CHOOSE(WEEKDAY('ปฏิทิน'!S1,2),"จ.","อ.","พ.","พฤ.","ศ.","ส.","อา."))</f>
        <v/>
      </c>
      <c r="T7" s="453">
        <f>IF('ปฏิทิน'!T1="","",CHOOSE(WEEKDAY('ปฏิทิน'!T1,2),"จ.","อ.","พ.","พฤ.","ศ.","ส.","อา."))</f>
        <v/>
      </c>
      <c r="U7" s="453">
        <f>IF('ปฏิทิน'!U1="","",CHOOSE(WEEKDAY('ปฏิทิน'!U1,2),"จ.","อ.","พ.","พฤ.","ศ.","ส.","อา."))</f>
        <v/>
      </c>
      <c r="V7" s="453">
        <f>IF('ปฏิทิน'!V1="","",CHOOSE(WEEKDAY('ปฏิทิน'!V1,2),"จ.","อ.","พ.","พฤ.","ศ.","ส.","อา."))</f>
        <v/>
      </c>
      <c r="W7" s="453">
        <f>IF('ปฏิทิน'!W1="","",CHOOSE(WEEKDAY('ปฏิทิน'!W1,2),"จ.","อ.","พ.","พฤ.","ศ.","ส.","อา."))</f>
        <v/>
      </c>
      <c r="X7" s="453">
        <f>IF('ปฏิทิน'!X1="","",CHOOSE(WEEKDAY('ปฏิทิน'!X1,2),"จ.","อ.","พ.","พฤ.","ศ.","ส.","อา."))</f>
        <v/>
      </c>
      <c r="Y7" s="453">
        <f>IF('ปฏิทิน'!Y1="","",CHOOSE(WEEKDAY('ปฏิทิน'!Y1,2),"จ.","อ.","พ.","พฤ.","ศ.","ส.","อา."))</f>
        <v/>
      </c>
      <c r="Z7" s="453">
        <f>IF('ปฏิทิน'!Z1="","",CHOOSE(WEEKDAY('ปฏิทิน'!Z1,2),"จ.","อ.","พ.","พฤ.","ศ.","ส.","อา."))</f>
        <v/>
      </c>
      <c r="AA7" s="453">
        <f>IF('ปฏิทิน'!AA1="","",CHOOSE(WEEKDAY('ปฏิทิน'!AA1,2),"จ.","อ.","พ.","พฤ.","ศ.","ส.","อา."))</f>
        <v/>
      </c>
      <c r="AB7" s="453">
        <f>IF('ปฏิทิน'!AB1="","",CHOOSE(WEEKDAY('ปฏิทิน'!AB1,2),"จ.","อ.","พ.","พฤ.","ศ.","ส.","อา."))</f>
        <v/>
      </c>
      <c r="AC7" s="453">
        <f>IF('ปฏิทิน'!AC1="","",CHOOSE(WEEKDAY('ปฏิทิน'!AC1,2),"จ.","อ.","พ.","พฤ.","ศ.","ส.","อา."))</f>
        <v/>
      </c>
      <c r="AD7" s="453">
        <f>IF('ปฏิทิน'!AD1="","",CHOOSE(WEEKDAY('ปฏิทิน'!AD1,2),"จ.","อ.","พ.","พฤ.","ศ.","ส.","อา."))</f>
        <v/>
      </c>
      <c r="AE7" s="453">
        <f>IF('ปฏิทิน'!AE1="","",CHOOSE(WEEKDAY('ปฏิทิน'!AE1,2),"จ.","อ.","พ.","พฤ.","ศ.","ส.","อา."))</f>
        <v/>
      </c>
      <c r="AF7" s="453">
        <f>IF('ปฏิทิน'!AF1="","",CHOOSE(WEEKDAY('ปฏิทิน'!AF1,2),"จ.","อ.","พ.","พฤ.","ศ.","ส.","อา."))</f>
        <v/>
      </c>
      <c r="AG7" s="453">
        <f>IF('ปฏิทิน'!AG1="","",CHOOSE(WEEKDAY('ปฏิทิน'!AG1,2),"จ.","อ.","พ.","พฤ.","ศ.","ส.","อา."))</f>
        <v/>
      </c>
      <c r="AH7" s="453">
        <f>IF('ปฏิทิน'!AH1="","",CHOOSE(WEEKDAY('ปฏิทิน'!AH1,2),"จ.","อ.","พ.","พฤ.","ศ.","ส.","อา."))</f>
        <v/>
      </c>
      <c r="AI7" s="454" t="n"/>
      <c r="AL7" s="452">
        <f>IF('ปฏิทิน'!AL1="","",CHOOSE(WEEKDAY('ปฏิทิน'!AL1,2),"จ.","อ.","พ.","พฤ.","ศ.","ส.","อา."))</f>
        <v/>
      </c>
      <c r="AM7" s="453">
        <f>IF('ปฏิทิน'!AM1="","",CHOOSE(WEEKDAY('ปฏิทิน'!AM1,2),"จ.","อ.","พ.","พฤ.","ศ.","ส.","อา."))</f>
        <v/>
      </c>
      <c r="AN7" s="453">
        <f>IF('ปฏิทิน'!AN1="","",CHOOSE(WEEKDAY('ปฏิทิน'!AN1,2),"จ.","อ.","พ.","พฤ.","ศ.","ส.","อา."))</f>
        <v/>
      </c>
      <c r="AO7" s="453">
        <f>IF('ปฏิทิน'!AO1="","",CHOOSE(WEEKDAY('ปฏิทิน'!AO1,2),"จ.","อ.","พ.","พฤ.","ศ.","ส.","อา."))</f>
        <v/>
      </c>
      <c r="AP7" s="453">
        <f>IF('ปฏิทิน'!AP1="","",CHOOSE(WEEKDAY('ปฏิทิน'!AP1,2),"จ.","อ.","พ.","พฤ.","ศ.","ส.","อา."))</f>
        <v/>
      </c>
      <c r="AQ7" s="453">
        <f>IF('ปฏิทิน'!AQ1="","",CHOOSE(WEEKDAY('ปฏิทิน'!AQ1,2),"จ.","อ.","พ.","พฤ.","ศ.","ส.","อา."))</f>
        <v/>
      </c>
      <c r="AR7" s="453">
        <f>IF('ปฏิทิน'!AR1="","",CHOOSE(WEEKDAY('ปฏิทิน'!AR1,2),"จ.","อ.","พ.","พฤ.","ศ.","ส.","อา."))</f>
        <v/>
      </c>
      <c r="AS7" s="453">
        <f>IF('ปฏิทิน'!AS1="","",CHOOSE(WEEKDAY('ปฏิทิน'!AS1,2),"จ.","อ.","พ.","พฤ.","ศ.","ส.","อา."))</f>
        <v/>
      </c>
      <c r="AT7" s="453">
        <f>IF('ปฏิทิน'!AT1="","",CHOOSE(WEEKDAY('ปฏิทิน'!AT1,2),"จ.","อ.","พ.","พฤ.","ศ.","ส.","อา."))</f>
        <v/>
      </c>
      <c r="AU7" s="453">
        <f>IF('ปฏิทิน'!AU1="","",CHOOSE(WEEKDAY('ปฏิทิน'!AU1,2),"จ.","อ.","พ.","พฤ.","ศ.","ส.","อา."))</f>
        <v/>
      </c>
      <c r="AV7" s="453">
        <f>IF('ปฏิทิน'!AV1="","",CHOOSE(WEEKDAY('ปฏิทิน'!AV1,2),"จ.","อ.","พ.","พฤ.","ศ.","ส.","อา."))</f>
        <v/>
      </c>
      <c r="AW7" s="453">
        <f>IF('ปฏิทิน'!AW1="","",CHOOSE(WEEKDAY('ปฏิทิน'!AW1,2),"จ.","อ.","พ.","พฤ.","ศ.","ส.","อา."))</f>
        <v/>
      </c>
      <c r="AX7" s="453">
        <f>IF('ปฏิทิน'!AX1="","",CHOOSE(WEEKDAY('ปฏิทิน'!AX1,2),"จ.","อ.","พ.","พฤ.","ศ.","ส.","อา."))</f>
        <v/>
      </c>
      <c r="AY7" s="453">
        <f>IF('ปฏิทิน'!AY1="","",CHOOSE(WEEKDAY('ปฏิทิน'!AY1,2),"จ.","อ.","พ.","พฤ.","ศ.","ส.","อา."))</f>
        <v/>
      </c>
      <c r="AZ7" s="453">
        <f>IF('ปฏิทิน'!AZ1="","",CHOOSE(WEEKDAY('ปฏิทิน'!AZ1,2),"จ.","อ.","พ.","พฤ.","ศ.","ส.","อา."))</f>
        <v/>
      </c>
      <c r="BA7" s="453">
        <f>IF('ปฏิทิน'!BA1="","",CHOOSE(WEEKDAY('ปฏิทิน'!BA1,2),"จ.","อ.","พ.","พฤ.","ศ.","ส.","อา."))</f>
        <v/>
      </c>
      <c r="BB7" s="453">
        <f>IF('ปฏิทิน'!BB1="","",CHOOSE(WEEKDAY('ปฏิทิน'!BB1,2),"จ.","อ.","พ.","พฤ.","ศ.","ส.","อา."))</f>
        <v/>
      </c>
      <c r="BC7" s="453">
        <f>IF('ปฏิทิน'!BC1="","",CHOOSE(WEEKDAY('ปฏิทิน'!BC1,2),"จ.","อ.","พ.","พฤ.","ศ.","ส.","อา."))</f>
        <v/>
      </c>
      <c r="BD7" s="453">
        <f>IF('ปฏิทิน'!BD1="","",CHOOSE(WEEKDAY('ปฏิทิน'!BD1,2),"จ.","อ.","พ.","พฤ.","ศ.","ส.","อา."))</f>
        <v/>
      </c>
      <c r="BE7" s="453">
        <f>IF('ปฏิทิน'!BE1="","",CHOOSE(WEEKDAY('ปฏิทิน'!BE1,2),"จ.","อ.","พ.","พฤ.","ศ.","ส.","อา."))</f>
        <v/>
      </c>
      <c r="BF7" s="453">
        <f>IF('ปฏิทิน'!BF1="","",CHOOSE(WEEKDAY('ปฏิทิน'!BF1,2),"จ.","อ.","พ.","พฤ.","ศ.","ส.","อา."))</f>
        <v/>
      </c>
      <c r="BG7" s="453">
        <f>IF('ปฏิทิน'!BG1="","",CHOOSE(WEEKDAY('ปฏิทิน'!BG1,2),"จ.","อ.","พ.","พฤ.","ศ.","ส.","อา."))</f>
        <v/>
      </c>
      <c r="BH7" s="453">
        <f>IF('ปฏิทิน'!BH1="","",CHOOSE(WEEKDAY('ปฏิทิน'!BH1,2),"จ.","อ.","พ.","พฤ.","ศ.","ส.","อา."))</f>
        <v/>
      </c>
      <c r="BI7" s="453">
        <f>IF('ปฏิทิน'!BI1="","",CHOOSE(WEEKDAY('ปฏิทิน'!BI1,2),"จ.","อ.","พ.","พฤ.","ศ.","ส.","อา."))</f>
        <v/>
      </c>
      <c r="BJ7" s="453">
        <f>IF('ปฏิทิน'!BJ1="","",CHOOSE(WEEKDAY('ปฏิทิน'!BJ1,2),"จ.","อ.","พ.","พฤ.","ศ.","ส.","อา."))</f>
        <v/>
      </c>
      <c r="BK7" s="453">
        <f>IF('ปฏิทิน'!BK1="","",CHOOSE(WEEKDAY('ปฏิทิน'!BK1,2),"จ.","อ.","พ.","พฤ.","ศ.","ส.","อา."))</f>
        <v/>
      </c>
      <c r="BL7" s="453">
        <f>IF('ปฏิทิน'!BL1="","",CHOOSE(WEEKDAY('ปฏิทิน'!BL1,2),"จ.","อ.","พ.","พฤ.","ศ.","ส.","อา."))</f>
        <v/>
      </c>
      <c r="BM7" s="453">
        <f>IF('ปฏิทิน'!BM1="","",CHOOSE(WEEKDAY('ปฏิทิน'!BM1,2),"จ.","อ.","พ.","พฤ.","ศ.","ส.","อา."))</f>
        <v/>
      </c>
      <c r="BN7" s="453">
        <f>IF('ปฏิทิน'!BN1="","",CHOOSE(WEEKDAY('ปฏิทิน'!BN1,2),"จ.","อ.","พ.","พฤ.","ศ.","ส.","อา."))</f>
        <v/>
      </c>
      <c r="BO7" s="453">
        <f>IF('ปฏิทิน'!BO1="","",CHOOSE(WEEKDAY('ปฏิทิน'!BO1,2),"จ.","อ.","พ.","พฤ.","ศ.","ส.","อา."))</f>
        <v/>
      </c>
      <c r="BP7" s="453">
        <f>IF('ปฏิทิน'!BP1="","",CHOOSE(WEEKDAY('ปฏิทิน'!BP1,2),"จ.","อ.","พ.","พฤ.","ศ.","ส.","อา."))</f>
        <v/>
      </c>
      <c r="BQ7" s="454" t="n"/>
      <c r="BT7" s="452">
        <f>IF('ปฏิทิน'!BT1="","",CHOOSE(WEEKDAY('ปฏิทิน'!BT1,2),"จ.","อ.","พ.","พฤ.","ศ.","ส.","อา."))</f>
        <v/>
      </c>
      <c r="BU7" s="453">
        <f>IF('ปฏิทิน'!BU1="","",CHOOSE(WEEKDAY('ปฏิทิน'!BU1,2),"จ.","อ.","พ.","พฤ.","ศ.","ส.","อา."))</f>
        <v/>
      </c>
      <c r="BV7" s="453">
        <f>IF('ปฏิทิน'!BV1="","",CHOOSE(WEEKDAY('ปฏิทิน'!BV1,2),"จ.","อ.","พ.","พฤ.","ศ.","ส.","อา."))</f>
        <v/>
      </c>
      <c r="BW7" s="453">
        <f>IF('ปฏิทิน'!BW1="","",CHOOSE(WEEKDAY('ปฏิทิน'!BW1,2),"จ.","อ.","พ.","พฤ.","ศ.","ส.","อา."))</f>
        <v/>
      </c>
      <c r="BX7" s="453">
        <f>IF('ปฏิทิน'!BX1="","",CHOOSE(WEEKDAY('ปฏิทิน'!BX1,2),"จ.","อ.","พ.","พฤ.","ศ.","ส.","อา."))</f>
        <v/>
      </c>
      <c r="BY7" s="453">
        <f>IF('ปฏิทิน'!BY1="","",CHOOSE(WEEKDAY('ปฏิทิน'!BY1,2),"จ.","อ.","พ.","พฤ.","ศ.","ส.","อา."))</f>
        <v/>
      </c>
      <c r="BZ7" s="453">
        <f>IF('ปฏิทิน'!BZ1="","",CHOOSE(WEEKDAY('ปฏิทิน'!BZ1,2),"จ.","อ.","พ.","พฤ.","ศ.","ส.","อา."))</f>
        <v/>
      </c>
      <c r="CA7" s="453">
        <f>IF('ปฏิทิน'!CA1="","",CHOOSE(WEEKDAY('ปฏิทิน'!CA1,2),"จ.","อ.","พ.","พฤ.","ศ.","ส.","อา."))</f>
        <v/>
      </c>
      <c r="CB7" s="453">
        <f>IF('ปฏิทิน'!CB1="","",CHOOSE(WEEKDAY('ปฏิทิน'!CB1,2),"จ.","อ.","พ.","พฤ.","ศ.","ส.","อา."))</f>
        <v/>
      </c>
      <c r="CC7" s="453">
        <f>IF('ปฏิทิน'!CC1="","",CHOOSE(WEEKDAY('ปฏิทิน'!CC1,2),"จ.","อ.","พ.","พฤ.","ศ.","ส.","อา."))</f>
        <v/>
      </c>
      <c r="CD7" s="453">
        <f>IF('ปฏิทิน'!CD1="","",CHOOSE(WEEKDAY('ปฏิทิน'!CD1,2),"จ.","อ.","พ.","พฤ.","ศ.","ส.","อา."))</f>
        <v/>
      </c>
      <c r="CE7" s="453">
        <f>IF('ปฏิทิน'!CE1="","",CHOOSE(WEEKDAY('ปฏิทิน'!CE1,2),"จ.","อ.","พ.","พฤ.","ศ.","ส.","อา."))</f>
        <v/>
      </c>
      <c r="CF7" s="453">
        <f>IF('ปฏิทิน'!CF1="","",CHOOSE(WEEKDAY('ปฏิทิน'!CF1,2),"จ.","อ.","พ.","พฤ.","ศ.","ส.","อา."))</f>
        <v/>
      </c>
      <c r="CG7" s="453">
        <f>IF('ปฏิทิน'!CG1="","",CHOOSE(WEEKDAY('ปฏิทิน'!CG1,2),"จ.","อ.","พ.","พฤ.","ศ.","ส.","อา."))</f>
        <v/>
      </c>
      <c r="CH7" s="453">
        <f>IF('ปฏิทิน'!CH1="","",CHOOSE(WEEKDAY('ปฏิทิน'!CH1,2),"จ.","อ.","พ.","พฤ.","ศ.","ส.","อา."))</f>
        <v/>
      </c>
      <c r="CI7" s="453">
        <f>IF('ปฏิทิน'!CI1="","",CHOOSE(WEEKDAY('ปฏิทิน'!CI1,2),"จ.","อ.","พ.","พฤ.","ศ.","ส.","อา."))</f>
        <v/>
      </c>
      <c r="CJ7" s="453">
        <f>IF('ปฏิทิน'!CJ1="","",CHOOSE(WEEKDAY('ปฏิทิน'!CJ1,2),"จ.","อ.","พ.","พฤ.","ศ.","ส.","อา."))</f>
        <v/>
      </c>
      <c r="CK7" s="453">
        <f>IF('ปฏิทิน'!CK1="","",CHOOSE(WEEKDAY('ปฏิทิน'!CK1,2),"จ.","อ.","พ.","พฤ.","ศ.","ส.","อา."))</f>
        <v/>
      </c>
      <c r="CL7" s="453">
        <f>IF('ปฏิทิน'!CL1="","",CHOOSE(WEEKDAY('ปฏิทิน'!CL1,2),"จ.","อ.","พ.","พฤ.","ศ.","ส.","อา."))</f>
        <v/>
      </c>
      <c r="CM7" s="453">
        <f>IF('ปฏิทิน'!CM1="","",CHOOSE(WEEKDAY('ปฏิทิน'!CM1,2),"จ.","อ.","พ.","พฤ.","ศ.","ส.","อา."))</f>
        <v/>
      </c>
      <c r="CN7" s="453">
        <f>IF('ปฏิทิน'!CN1="","",CHOOSE(WEEKDAY('ปฏิทิน'!CN1,2),"จ.","อ.","พ.","พฤ.","ศ.","ส.","อา."))</f>
        <v/>
      </c>
      <c r="CO7" s="453">
        <f>IF('ปฏิทิน'!CO1="","",CHOOSE(WEEKDAY('ปฏิทิน'!CO1,2),"จ.","อ.","พ.","พฤ.","ศ.","ส.","อา."))</f>
        <v/>
      </c>
      <c r="CP7" s="453">
        <f>IF('ปฏิทิน'!CP1="","",CHOOSE(WEEKDAY('ปฏิทิน'!CP1,2),"จ.","อ.","พ.","พฤ.","ศ.","ส.","อา."))</f>
        <v/>
      </c>
      <c r="CQ7" s="453">
        <f>IF('ปฏิทิน'!CQ1="","",CHOOSE(WEEKDAY('ปฏิทิน'!CQ1,2),"จ.","อ.","พ.","พฤ.","ศ.","ส.","อา."))</f>
        <v/>
      </c>
      <c r="CR7" s="453">
        <f>IF('ปฏิทิน'!CR1="","",CHOOSE(WEEKDAY('ปฏิทิน'!CR1,2),"จ.","อ.","พ.","พฤ.","ศ.","ส.","อา."))</f>
        <v/>
      </c>
      <c r="CS7" s="453">
        <f>IF('ปฏิทิน'!CS1="","",CHOOSE(WEEKDAY('ปฏิทิน'!CS1,2),"จ.","อ.","พ.","พฤ.","ศ.","ส.","อา."))</f>
        <v/>
      </c>
      <c r="CT7" s="453">
        <f>IF('ปฏิทิน'!CT1="","",CHOOSE(WEEKDAY('ปฏิทิน'!CT1,2),"จ.","อ.","พ.","พฤ.","ศ.","ส.","อา."))</f>
        <v/>
      </c>
      <c r="CU7" s="453">
        <f>IF('ปฏิทิน'!CU1="","",CHOOSE(WEEKDAY('ปฏิทิน'!CU1,2),"จ.","อ.","พ.","พฤ.","ศ.","ส.","อา."))</f>
        <v/>
      </c>
      <c r="CV7" s="453">
        <f>IF('ปฏิทิน'!CV1="","",CHOOSE(WEEKDAY('ปฏิทิน'!CV1,2),"จ.","อ.","พ.","พฤ.","ศ.","ส.","อา."))</f>
        <v/>
      </c>
      <c r="CW7" s="453">
        <f>IF('ปฏิทิน'!CW1="","",CHOOSE(WEEKDAY('ปฏิทิน'!CW1,2),"จ.","อ.","พ.","พฤ.","ศ.","ส.","อา."))</f>
        <v/>
      </c>
      <c r="CX7" s="453">
        <f>IF('ปฏิทิน'!CX1="","",CHOOSE(WEEKDAY('ปฏิทิน'!CX1,2),"จ.","อ.","พ.","พฤ.","ศ.","ส.","อา."))</f>
        <v/>
      </c>
      <c r="CY7" s="454" t="n"/>
      <c r="DB7" s="452">
        <f>IF('ปฏิทิน'!DB1="","",CHOOSE(WEEKDAY('ปฏิทิน'!DB1,2),"จ.","อ.","พ.","พฤ.","ศ.","ส.","อา."))</f>
        <v/>
      </c>
      <c r="DC7" s="453">
        <f>IF('ปฏิทิน'!DC1="","",CHOOSE(WEEKDAY('ปฏิทิน'!DC1,2),"จ.","อ.","พ.","พฤ.","ศ.","ส.","อา."))</f>
        <v/>
      </c>
      <c r="DD7" s="453">
        <f>IF('ปฏิทิน'!DD1="","",CHOOSE(WEEKDAY('ปฏิทิน'!DD1,2),"จ.","อ.","พ.","พฤ.","ศ.","ส.","อา."))</f>
        <v/>
      </c>
      <c r="DE7" s="453">
        <f>IF('ปฏิทิน'!DE1="","",CHOOSE(WEEKDAY('ปฏิทิน'!DE1,2),"จ.","อ.","พ.","พฤ.","ศ.","ส.","อา."))</f>
        <v/>
      </c>
      <c r="DF7" s="453">
        <f>IF('ปฏิทิน'!DF1="","",CHOOSE(WEEKDAY('ปฏิทิน'!DF1,2),"จ.","อ.","พ.","พฤ.","ศ.","ส.","อา."))</f>
        <v/>
      </c>
      <c r="DG7" s="453">
        <f>IF('ปฏิทิน'!DG1="","",CHOOSE(WEEKDAY('ปฏิทิน'!DG1,2),"จ.","อ.","พ.","พฤ.","ศ.","ส.","อา."))</f>
        <v/>
      </c>
      <c r="DH7" s="453">
        <f>IF('ปฏิทิน'!DH1="","",CHOOSE(WEEKDAY('ปฏิทิน'!DH1,2),"จ.","อ.","พ.","พฤ.","ศ.","ส.","อา."))</f>
        <v/>
      </c>
      <c r="DI7" s="453">
        <f>IF('ปฏิทิน'!DI1="","",CHOOSE(WEEKDAY('ปฏิทิน'!DI1,2),"จ.","อ.","พ.","พฤ.","ศ.","ส.","อา."))</f>
        <v/>
      </c>
      <c r="DJ7" s="453">
        <f>IF('ปฏิทิน'!DJ1="","",CHOOSE(WEEKDAY('ปฏิทิน'!DJ1,2),"จ.","อ.","พ.","พฤ.","ศ.","ส.","อา."))</f>
        <v/>
      </c>
      <c r="DK7" s="453">
        <f>IF('ปฏิทิน'!DK1="","",CHOOSE(WEEKDAY('ปฏิทิน'!DK1,2),"จ.","อ.","พ.","พฤ.","ศ.","ส.","อา."))</f>
        <v/>
      </c>
      <c r="DL7" s="453">
        <f>IF('ปฏิทิน'!DL1="","",CHOOSE(WEEKDAY('ปฏิทิน'!DL1,2),"จ.","อ.","พ.","พฤ.","ศ.","ส.","อา."))</f>
        <v/>
      </c>
      <c r="DM7" s="453">
        <f>IF('ปฏิทิน'!DM1="","",CHOOSE(WEEKDAY('ปฏิทิน'!DM1,2),"จ.","อ.","พ.","พฤ.","ศ.","ส.","อา."))</f>
        <v/>
      </c>
      <c r="DN7" s="453">
        <f>IF('ปฏิทิน'!DN1="","",CHOOSE(WEEKDAY('ปฏิทิน'!DN1,2),"จ.","อ.","พ.","พฤ.","ศ.","ส.","อา."))</f>
        <v/>
      </c>
      <c r="DO7" s="453">
        <f>IF('ปฏิทิน'!DO1="","",CHOOSE(WEEKDAY('ปฏิทิน'!DO1,2),"จ.","อ.","พ.","พฤ.","ศ.","ส.","อา."))</f>
        <v/>
      </c>
      <c r="DP7" s="453">
        <f>IF('ปฏิทิน'!DP1="","",CHOOSE(WEEKDAY('ปฏิทิน'!DP1,2),"จ.","อ.","พ.","พฤ.","ศ.","ส.","อา."))</f>
        <v/>
      </c>
      <c r="DQ7" s="453">
        <f>IF('ปฏิทิน'!DQ1="","",CHOOSE(WEEKDAY('ปฏิทิน'!DQ1,2),"จ.","อ.","พ.","พฤ.","ศ.","ส.","อา."))</f>
        <v/>
      </c>
      <c r="DR7" s="453">
        <f>IF('ปฏิทิน'!DR1="","",CHOOSE(WEEKDAY('ปฏิทิน'!DR1,2),"จ.","อ.","พ.","พฤ.","ศ.","ส.","อา."))</f>
        <v/>
      </c>
      <c r="DS7" s="453">
        <f>IF('ปฏิทิน'!DS1="","",CHOOSE(WEEKDAY('ปฏิทิน'!DS1,2),"จ.","อ.","พ.","พฤ.","ศ.","ส.","อา."))</f>
        <v/>
      </c>
      <c r="DT7" s="453">
        <f>IF('ปฏิทิน'!DT1="","",CHOOSE(WEEKDAY('ปฏิทิน'!DT1,2),"จ.","อ.","พ.","พฤ.","ศ.","ส.","อา."))</f>
        <v/>
      </c>
      <c r="DU7" s="453">
        <f>IF('ปฏิทิน'!DU1="","",CHOOSE(WEEKDAY('ปฏิทิน'!DU1,2),"จ.","อ.","พ.","พฤ.","ศ.","ส.","อา."))</f>
        <v/>
      </c>
      <c r="DV7" s="453">
        <f>IF('ปฏิทิน'!DV1="","",CHOOSE(WEEKDAY('ปฏิทิน'!DV1,2),"จ.","อ.","พ.","พฤ.","ศ.","ส.","อา."))</f>
        <v/>
      </c>
      <c r="DW7" s="453">
        <f>IF('ปฏิทิน'!DW1="","",CHOOSE(WEEKDAY('ปฏิทิน'!DW1,2),"จ.","อ.","พ.","พฤ.","ศ.","ส.","อา."))</f>
        <v/>
      </c>
      <c r="DX7" s="453">
        <f>IF('ปฏิทิน'!DX1="","",CHOOSE(WEEKDAY('ปฏิทิน'!DX1,2),"จ.","อ.","พ.","พฤ.","ศ.","ส.","อา."))</f>
        <v/>
      </c>
      <c r="DY7" s="453">
        <f>IF('ปฏิทิน'!DY1="","",CHOOSE(WEEKDAY('ปฏิทิน'!DY1,2),"จ.","อ.","พ.","พฤ.","ศ.","ส.","อา."))</f>
        <v/>
      </c>
      <c r="DZ7" s="453">
        <f>IF('ปฏิทิน'!DZ1="","",CHOOSE(WEEKDAY('ปฏิทิน'!DZ1,2),"จ.","อ.","พ.","พฤ.","ศ.","ส.","อา."))</f>
        <v/>
      </c>
      <c r="EA7" s="453">
        <f>IF('ปฏิทิน'!EA1="","",CHOOSE(WEEKDAY('ปฏิทิน'!EA1,2),"จ.","อ.","พ.","พฤ.","ศ.","ส.","อา."))</f>
        <v/>
      </c>
      <c r="EB7" s="453">
        <f>IF('ปฏิทิน'!EB1="","",CHOOSE(WEEKDAY('ปฏิทิน'!EB1,2),"จ.","อ.","พ.","พฤ.","ศ.","ส.","อา."))</f>
        <v/>
      </c>
      <c r="EC7" s="453">
        <f>IF('ปฏิทิน'!EC1="","",CHOOSE(WEEKDAY('ปฏิทิน'!EC1,2),"จ.","อ.","พ.","พฤ.","ศ.","ส.","อา."))</f>
        <v/>
      </c>
      <c r="ED7" s="453">
        <f>IF('ปฏิทิน'!ED1="","",CHOOSE(WEEKDAY('ปฏิทิน'!ED1,2),"จ.","อ.","พ.","พฤ.","ศ.","ส.","อา."))</f>
        <v/>
      </c>
      <c r="EE7" s="453">
        <f>IF('ปฏิทิน'!EE1="","",CHOOSE(WEEKDAY('ปฏิทิน'!EE1,2),"จ.","อ.","พ.","พฤ.","ศ.","ส.","อา."))</f>
        <v/>
      </c>
      <c r="EF7" s="453">
        <f>IF('ปฏิทิน'!EF1="","",CHOOSE(WEEKDAY('ปฏิทิน'!EF1,2),"จ.","อ.","พ.","พฤ.","ศ.","ส.","อา."))</f>
        <v/>
      </c>
      <c r="EG7" s="454" t="n"/>
      <c r="EJ7" s="452">
        <f>IF('ปฏิทิน'!EJ1="","",CHOOSE(WEEKDAY('ปฏิทิน'!EJ1,2),"จ.","อ.","พ.","พฤ.","ศ.","ส.","อา."))</f>
        <v/>
      </c>
      <c r="EK7" s="453">
        <f>IF('ปฏิทิน'!EK1="","",CHOOSE(WEEKDAY('ปฏิทิน'!EK1,2),"จ.","อ.","พ.","พฤ.","ศ.","ส.","อา."))</f>
        <v/>
      </c>
      <c r="EL7" s="453">
        <f>IF('ปฏิทิน'!EL1="","",CHOOSE(WEEKDAY('ปฏิทิน'!EL1,2),"จ.","อ.","พ.","พฤ.","ศ.","ส.","อา."))</f>
        <v/>
      </c>
      <c r="EM7" s="453">
        <f>IF('ปฏิทิน'!EM1="","",CHOOSE(WEEKDAY('ปฏิทิน'!EM1,2),"จ.","อ.","พ.","พฤ.","ศ.","ส.","อา."))</f>
        <v/>
      </c>
      <c r="EN7" s="453">
        <f>IF('ปฏิทิน'!EN1="","",CHOOSE(WEEKDAY('ปฏิทิน'!EN1,2),"จ.","อ.","พ.","พฤ.","ศ.","ส.","อา."))</f>
        <v/>
      </c>
      <c r="EO7" s="453">
        <f>IF('ปฏิทิน'!EO1="","",CHOOSE(WEEKDAY('ปฏิทิน'!EO1,2),"จ.","อ.","พ.","พฤ.","ศ.","ส.","อา."))</f>
        <v/>
      </c>
      <c r="EP7" s="453">
        <f>IF('ปฏิทิน'!EP1="","",CHOOSE(WEEKDAY('ปฏิทิน'!EP1,2),"จ.","อ.","พ.","พฤ.","ศ.","ส.","อา."))</f>
        <v/>
      </c>
      <c r="EQ7" s="453">
        <f>IF('ปฏิทิน'!EQ1="","",CHOOSE(WEEKDAY('ปฏิทิน'!EQ1,2),"จ.","อ.","พ.","พฤ.","ศ.","ส.","อา."))</f>
        <v/>
      </c>
      <c r="ER7" s="453">
        <f>IF('ปฏิทิน'!ER1="","",CHOOSE(WEEKDAY('ปฏิทิน'!ER1,2),"จ.","อ.","พ.","พฤ.","ศ.","ส.","อา."))</f>
        <v/>
      </c>
      <c r="ES7" s="453">
        <f>IF('ปฏิทิน'!ES1="","",CHOOSE(WEEKDAY('ปฏิทิน'!ES1,2),"จ.","อ.","พ.","พฤ.","ศ.","ส.","อา."))</f>
        <v/>
      </c>
      <c r="ET7" s="453">
        <f>IF('ปฏิทิน'!ET1="","",CHOOSE(WEEKDAY('ปฏิทิน'!ET1,2),"จ.","อ.","พ.","พฤ.","ศ.","ส.","อา."))</f>
        <v/>
      </c>
      <c r="EU7" s="453">
        <f>IF('ปฏิทิน'!EU1="","",CHOOSE(WEEKDAY('ปฏิทิน'!EU1,2),"จ.","อ.","พ.","พฤ.","ศ.","ส.","อา."))</f>
        <v/>
      </c>
      <c r="EV7" s="453">
        <f>IF('ปฏิทิน'!EV1="","",CHOOSE(WEEKDAY('ปฏิทิน'!EV1,2),"จ.","อ.","พ.","พฤ.","ศ.","ส.","อา."))</f>
        <v/>
      </c>
      <c r="EW7" s="453">
        <f>IF('ปฏิทิน'!EW1="","",CHOOSE(WEEKDAY('ปฏิทิน'!EW1,2),"จ.","อ.","พ.","พฤ.","ศ.","ส.","อา."))</f>
        <v/>
      </c>
      <c r="EX7" s="453">
        <f>IF('ปฏิทิน'!EX1="","",CHOOSE(WEEKDAY('ปฏิทิน'!EX1,2),"จ.","อ.","พ.","พฤ.","ศ.","ส.","อา."))</f>
        <v/>
      </c>
      <c r="EY7" s="453">
        <f>IF('ปฏิทิน'!EY1="","",CHOOSE(WEEKDAY('ปฏิทิน'!EY1,2),"จ.","อ.","พ.","พฤ.","ศ.","ส.","อา."))</f>
        <v/>
      </c>
      <c r="EZ7" s="453">
        <f>IF('ปฏิทิน'!EZ1="","",CHOOSE(WEEKDAY('ปฏิทิน'!EZ1,2),"จ.","อ.","พ.","พฤ.","ศ.","ส.","อา."))</f>
        <v/>
      </c>
      <c r="FA7" s="453">
        <f>IF('ปฏิทิน'!FA1="","",CHOOSE(WEEKDAY('ปฏิทิน'!FA1,2),"จ.","อ.","พ.","พฤ.","ศ.","ส.","อา."))</f>
        <v/>
      </c>
      <c r="FB7" s="453">
        <f>IF('ปฏิทิน'!FB1="","",CHOOSE(WEEKDAY('ปฏิทิน'!FB1,2),"จ.","อ.","พ.","พฤ.","ศ.","ส.","อา."))</f>
        <v/>
      </c>
      <c r="FC7" s="453">
        <f>IF('ปฏิทิน'!FC1="","",CHOOSE(WEEKDAY('ปฏิทิน'!FC1,2),"จ.","อ.","พ.","พฤ.","ศ.","ส.","อา."))</f>
        <v/>
      </c>
      <c r="FD7" s="453">
        <f>IF('ปฏิทิน'!FD1="","",CHOOSE(WEEKDAY('ปฏิทิน'!FD1,2),"จ.","อ.","พ.","พฤ.","ศ.","ส.","อา."))</f>
        <v/>
      </c>
      <c r="FE7" s="453">
        <f>IF('ปฏิทิน'!FE1="","",CHOOSE(WEEKDAY('ปฏิทิน'!FE1,2),"จ.","อ.","พ.","พฤ.","ศ.","ส.","อา."))</f>
        <v/>
      </c>
      <c r="FF7" s="453">
        <f>IF('ปฏิทิน'!FF1="","",CHOOSE(WEEKDAY('ปฏิทิน'!FF1,2),"จ.","อ.","พ.","พฤ.","ศ.","ส.","อา."))</f>
        <v/>
      </c>
      <c r="FG7" s="453">
        <f>IF('ปฏิทิน'!FG1="","",CHOOSE(WEEKDAY('ปฏิทิน'!FG1,2),"จ.","อ.","พ.","พฤ.","ศ.","ส.","อา."))</f>
        <v/>
      </c>
      <c r="FH7" s="453">
        <f>IF('ปฏิทิน'!FH1="","",CHOOSE(WEEKDAY('ปฏิทิน'!FH1,2),"จ.","อ.","พ.","พฤ.","ศ.","ส.","อา."))</f>
        <v/>
      </c>
      <c r="FI7" s="453">
        <f>IF('ปฏิทิน'!FI1="","",CHOOSE(WEEKDAY('ปฏิทิน'!FI1,2),"จ.","อ.","พ.","พฤ.","ศ.","ส.","อา."))</f>
        <v/>
      </c>
      <c r="FJ7" s="453">
        <f>IF('ปฏิทิน'!FJ1="","",CHOOSE(WEEKDAY('ปฏิทิน'!FJ1,2),"จ.","อ.","พ.","พฤ.","ศ.","ส.","อา."))</f>
        <v/>
      </c>
      <c r="FK7" s="453">
        <f>IF('ปฏิทิน'!FK1="","",CHOOSE(WEEKDAY('ปฏิทิน'!FK1,2),"จ.","อ.","พ.","พฤ.","ศ.","ส.","อา."))</f>
        <v/>
      </c>
      <c r="FL7" s="453">
        <f>IF('ปฏิทิน'!FL1="","",CHOOSE(WEEKDAY('ปฏิทิน'!FL1,2),"จ.","อ.","พ.","พฤ.","ศ.","ส.","อา."))</f>
        <v/>
      </c>
      <c r="FM7" s="453">
        <f>IF('ปฏิทิน'!FM1="","",CHOOSE(WEEKDAY('ปฏิทิน'!FM1,2),"จ.","อ.","พ.","พฤ.","ศ.","ส.","อา."))</f>
        <v/>
      </c>
      <c r="FN7" s="453">
        <f>IF('ปฏิทิน'!FN1="","",CHOOSE(WEEKDAY('ปฏิทิน'!FN1,2),"จ.","อ.","พ.","พฤ.","ศ.","ส.","อา."))</f>
        <v/>
      </c>
      <c r="FO7" s="454" t="n"/>
      <c r="FR7" s="452">
        <f>IF('ปฏิทิน'!FR1="","",CHOOSE(WEEKDAY('ปฏิทิน'!FR1,2),"จ.","อ.","พ.","พฤ.","ศ.","ส.","อา."))</f>
        <v/>
      </c>
      <c r="FS7" s="453">
        <f>IF('ปฏิทิน'!FS1="","",CHOOSE(WEEKDAY('ปฏิทิน'!FS1,2),"จ.","อ.","พ.","พฤ.","ศ.","ส.","อา."))</f>
        <v/>
      </c>
      <c r="FT7" s="453">
        <f>IF('ปฏิทิน'!FT1="","",CHOOSE(WEEKDAY('ปฏิทิน'!FT1,2),"จ.","อ.","พ.","พฤ.","ศ.","ส.","อา."))</f>
        <v/>
      </c>
      <c r="FU7" s="453">
        <f>IF('ปฏิทิน'!FU1="","",CHOOSE(WEEKDAY('ปฏิทิน'!FU1,2),"จ.","อ.","พ.","พฤ.","ศ.","ส.","อา."))</f>
        <v/>
      </c>
      <c r="FV7" s="453">
        <f>IF('ปฏิทิน'!FV1="","",CHOOSE(WEEKDAY('ปฏิทิน'!FV1,2),"จ.","อ.","พ.","พฤ.","ศ.","ส.","อา."))</f>
        <v/>
      </c>
      <c r="FW7" s="453">
        <f>IF('ปฏิทิน'!FW1="","",CHOOSE(WEEKDAY('ปฏิทิน'!FW1,2),"จ.","อ.","พ.","พฤ.","ศ.","ส.","อา."))</f>
        <v/>
      </c>
      <c r="FX7" s="453">
        <f>IF('ปฏิทิน'!FX1="","",CHOOSE(WEEKDAY('ปฏิทิน'!FX1,2),"จ.","อ.","พ.","พฤ.","ศ.","ส.","อา."))</f>
        <v/>
      </c>
      <c r="FY7" s="453">
        <f>IF('ปฏิทิน'!FY1="","",CHOOSE(WEEKDAY('ปฏิทิน'!FY1,2),"จ.","อ.","พ.","พฤ.","ศ.","ส.","อา."))</f>
        <v/>
      </c>
      <c r="FZ7" s="453">
        <f>IF('ปฏิทิน'!FZ1="","",CHOOSE(WEEKDAY('ปฏิทิน'!FZ1,2),"จ.","อ.","พ.","พฤ.","ศ.","ส.","อา."))</f>
        <v/>
      </c>
      <c r="GA7" s="453">
        <f>IF('ปฏิทิน'!GA1="","",CHOOSE(WEEKDAY('ปฏิทิน'!GA1,2),"จ.","อ.","พ.","พฤ.","ศ.","ส.","อา."))</f>
        <v/>
      </c>
      <c r="GB7" s="453">
        <f>IF('ปฏิทิน'!GB1="","",CHOOSE(WEEKDAY('ปฏิทิน'!GB1,2),"จ.","อ.","พ.","พฤ.","ศ.","ส.","อา."))</f>
        <v/>
      </c>
      <c r="GC7" s="453">
        <f>IF('ปฏิทิน'!GC1="","",CHOOSE(WEEKDAY('ปฏิทิน'!GC1,2),"จ.","อ.","พ.","พฤ.","ศ.","ส.","อา."))</f>
        <v/>
      </c>
      <c r="GD7" s="453">
        <f>IF('ปฏิทิน'!GD1="","",CHOOSE(WEEKDAY('ปฏิทิน'!GD1,2),"จ.","อ.","พ.","พฤ.","ศ.","ส.","อา."))</f>
        <v/>
      </c>
      <c r="GE7" s="453">
        <f>IF('ปฏิทิน'!GE1="","",CHOOSE(WEEKDAY('ปฏิทิน'!GE1,2),"จ.","อ.","พ.","พฤ.","ศ.","ส.","อา."))</f>
        <v/>
      </c>
      <c r="GF7" s="453">
        <f>IF('ปฏิทิน'!GF1="","",CHOOSE(WEEKDAY('ปฏิทิน'!GF1,2),"จ.","อ.","พ.","พฤ.","ศ.","ส.","อา."))</f>
        <v/>
      </c>
      <c r="GG7" s="453">
        <f>IF('ปฏิทิน'!GG1="","",CHOOSE(WEEKDAY('ปฏิทิน'!GG1,2),"จ.","อ.","พ.","พฤ.","ศ.","ส.","อา."))</f>
        <v/>
      </c>
      <c r="GH7" s="453">
        <f>IF('ปฏิทิน'!GH1="","",CHOOSE(WEEKDAY('ปฏิทิน'!GH1,2),"จ.","อ.","พ.","พฤ.","ศ.","ส.","อา."))</f>
        <v/>
      </c>
      <c r="GI7" s="453">
        <f>IF('ปฏิทิน'!GI1="","",CHOOSE(WEEKDAY('ปฏิทิน'!GI1,2),"จ.","อ.","พ.","พฤ.","ศ.","ส.","อา."))</f>
        <v/>
      </c>
      <c r="GJ7" s="453">
        <f>IF('ปฏิทิน'!GJ1="","",CHOOSE(WEEKDAY('ปฏิทิน'!GJ1,2),"จ.","อ.","พ.","พฤ.","ศ.","ส.","อา."))</f>
        <v/>
      </c>
      <c r="GK7" s="453">
        <f>IF('ปฏิทิน'!GK1="","",CHOOSE(WEEKDAY('ปฏิทิน'!GK1,2),"จ.","อ.","พ.","พฤ.","ศ.","ส.","อา."))</f>
        <v/>
      </c>
      <c r="GL7" s="453">
        <f>IF('ปฏิทิน'!GL1="","",CHOOSE(WEEKDAY('ปฏิทิน'!GL1,2),"จ.","อ.","พ.","พฤ.","ศ.","ส.","อา."))</f>
        <v/>
      </c>
      <c r="GM7" s="453">
        <f>IF('ปฏิทิน'!GM1="","",CHOOSE(WEEKDAY('ปฏิทิน'!GM1,2),"จ.","อ.","พ.","พฤ.","ศ.","ส.","อา."))</f>
        <v/>
      </c>
      <c r="GN7" s="453">
        <f>IF('ปฏิทิน'!GN1="","",CHOOSE(WEEKDAY('ปฏิทิน'!GN1,2),"จ.","อ.","พ.","พฤ.","ศ.","ส.","อา."))</f>
        <v/>
      </c>
      <c r="GO7" s="453">
        <f>IF('ปฏิทิน'!GO1="","",CHOOSE(WEEKDAY('ปฏิทิน'!GO1,2),"จ.","อ.","พ.","พฤ.","ศ.","ส.","อา."))</f>
        <v/>
      </c>
      <c r="GP7" s="453">
        <f>IF('ปฏิทิน'!GP1="","",CHOOSE(WEEKDAY('ปฏิทิน'!GP1,2),"จ.","อ.","พ.","พฤ.","ศ.","ส.","อา."))</f>
        <v/>
      </c>
      <c r="GQ7" s="453">
        <f>IF('ปฏิทิน'!GQ1="","",CHOOSE(WEEKDAY('ปฏิทิน'!GQ1,2),"จ.","อ.","พ.","พฤ.","ศ.","ส.","อา."))</f>
        <v/>
      </c>
      <c r="GR7" s="453">
        <f>IF('ปฏิทิน'!GR1="","",CHOOSE(WEEKDAY('ปฏิทิน'!GR1,2),"จ.","อ.","พ.","พฤ.","ศ.","ส.","อา."))</f>
        <v/>
      </c>
      <c r="GS7" s="453">
        <f>IF('ปฏิทิน'!GS1="","",CHOOSE(WEEKDAY('ปฏิทิน'!GS1,2),"จ.","อ.","พ.","พฤ.","ศ.","ส.","อา."))</f>
        <v/>
      </c>
      <c r="GT7" s="453">
        <f>IF('ปฏิทิน'!GT1="","",CHOOSE(WEEKDAY('ปฏิทิน'!GT1,2),"จ.","อ.","พ.","พฤ.","ศ.","ส.","อา."))</f>
        <v/>
      </c>
      <c r="GU7" s="453">
        <f>IF('ปฏิทิน'!GU1="","",CHOOSE(WEEKDAY('ปฏิทิน'!GU1,2),"จ.","อ.","พ.","พฤ.","ศ.","ส.","อา."))</f>
        <v/>
      </c>
      <c r="GV7" s="453">
        <f>IF('ปฏิทิน'!GV1="","",CHOOSE(WEEKDAY('ปฏิทิน'!GV1,2),"จ.","อ.","พ.","พฤ.","ศ.","ส.","อา."))</f>
        <v/>
      </c>
      <c r="GW7" s="454" t="n"/>
    </row>
    <row r="8" ht="64" customHeight="1">
      <c r="D8" s="455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454" t="n"/>
      <c r="AL8" s="455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454" t="n"/>
      <c r="BT8" s="455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454" t="n"/>
      <c r="DB8" s="455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454" t="n"/>
      <c r="EJ8" s="455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454" t="n"/>
      <c r="FR8" s="455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454" t="n"/>
    </row>
    <row r="9">
      <c r="A9" s="218" t="n">
        <v>1</v>
      </c>
      <c r="B9" s="219">
        <f>'ข้อมูลนักเรียน'!T9</f>
        <v/>
      </c>
      <c r="C9" s="456">
        <f>IF(B9="","",IFERROR(COUNTIF(D9:GY9,"✓")/(COUNTIF(D9:GY9,"✓")+COUNTIF(D9:GY9,"✗")),""))</f>
        <v/>
      </c>
      <c r="D9" s="45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458">
        <f>IF($B9="","",COUNTIF(D9:AH9,"✓"))</f>
        <v/>
      </c>
      <c r="AJ9" s="459">
        <f>IF($B9="","",COUNTIF(D9:AH9,"✗"))</f>
        <v/>
      </c>
      <c r="AK9" s="460">
        <f>IF($B9="","",IFERROR(ROUND(COUNTIF(D9:AH9,"✓")/(COUNTIF(D9:AH9,"✓")+COUNTIF(D9:AH9,"✗"))*100,0),""))</f>
        <v/>
      </c>
      <c r="AL9" s="45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458">
        <f>IF($B9="","",COUNTIF(AL9:BP9,"✓"))</f>
        <v/>
      </c>
      <c r="BR9" s="459">
        <f>IF($B9="","",COUNTIF(AL9:BP9,"✗"))</f>
        <v/>
      </c>
      <c r="BS9" s="460">
        <f>IF($B9="","",IFERROR(ROUND(COUNTIF(AL9:BP9,"✓")/(COUNTIF(AL9:BP9,"✓")+COUNTIF(AL9:BP9,"✗"))*100,0),""))</f>
        <v/>
      </c>
      <c r="BT9" s="45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458">
        <f>IF($B9="","",COUNTIF(BT9:CX9,"✓"))</f>
        <v/>
      </c>
      <c r="CZ9" s="459">
        <f>IF($B9="","",COUNTIF(BT9:CX9,"✗"))</f>
        <v/>
      </c>
      <c r="DA9" s="460">
        <f>IF($B9="","",IFERROR(ROUND(COUNTIF(BT9:CX9,"✓")/(COUNTIF(BT9:CX9,"✓")+COUNTIF(BT9:CX9,"✗"))*100,0),""))</f>
        <v/>
      </c>
      <c r="DB9" s="45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458">
        <f>IF($B9="","",COUNTIF(DB9:EF9,"✓"))</f>
        <v/>
      </c>
      <c r="EH9" s="459">
        <f>IF($B9="","",COUNTIF(DB9:EF9,"✗"))</f>
        <v/>
      </c>
      <c r="EI9" s="460">
        <f>IF($B9="","",IFERROR(ROUND(COUNTIF(DB9:EF9,"✓")/(COUNTIF(DB9:EF9,"✓")+COUNTIF(DB9:EF9,"✗"))*100,0),""))</f>
        <v/>
      </c>
      <c r="EJ9" s="45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458">
        <f>IF($B9="","",COUNTIF(EJ9:FN9,"✓"))</f>
        <v/>
      </c>
      <c r="FP9" s="459">
        <f>IF($B9="","",COUNTIF(EJ9:FN9,"✗"))</f>
        <v/>
      </c>
      <c r="FQ9" s="460">
        <f>IF($B9="","",IFERROR(ROUND(COUNTIF(EJ9:FN9,"✓")/(COUNTIF(EJ9:FN9,"✓")+COUNTIF(EJ9:FN9,"✗"))*100,0),""))</f>
        <v/>
      </c>
      <c r="FR9" s="457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458">
        <f>IF($B9="","",COUNTIF(FR9:GV9,"✓"))</f>
        <v/>
      </c>
      <c r="GX9" s="459">
        <f>IF($B9="","",COUNTIF(FR9:GV9,"✗"))</f>
        <v/>
      </c>
      <c r="GY9" s="460">
        <f>IF($B9="","",IFERROR(ROUND(COUNTIF(FR9:GV9,"✓")/(COUNTIF(FR9:GV9,"✓")+COUNTIF(FR9:GV9,"✗"))*100,0),""))</f>
        <v/>
      </c>
    </row>
    <row r="10">
      <c r="A10" s="226" t="n">
        <v>2</v>
      </c>
      <c r="B10" s="227">
        <f>'ข้อมูลนักเรียน'!T10</f>
        <v/>
      </c>
      <c r="C10" s="456">
        <f>IF(B10="","",IFERROR(COUNTIF(D10:GY10,"✓")/(COUNTIF(D10:GY10,"✓")+COUNTIF(D10:GY10,"✗")),""))</f>
        <v/>
      </c>
      <c r="D10" s="45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458">
        <f>IF($B10="","",COUNTIF(D10:AH10,"✓"))</f>
        <v/>
      </c>
      <c r="AJ10" s="459">
        <f>IF($B10="","",COUNTIF(D10:AH10,"✗"))</f>
        <v/>
      </c>
      <c r="AK10" s="460">
        <f>IF($B10="","",IFERROR(ROUND(COUNTIF(D10:AH10,"✓")/(COUNTIF(D10:AH10,"✓")+COUNTIF(D10:AH10,"✗"))*100,0),""))</f>
        <v/>
      </c>
      <c r="AL10" s="45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458">
        <f>IF($B10="","",COUNTIF(AL10:BP10,"✓"))</f>
        <v/>
      </c>
      <c r="BR10" s="459">
        <f>IF($B10="","",COUNTIF(AL10:BP10,"✗"))</f>
        <v/>
      </c>
      <c r="BS10" s="460">
        <f>IF($B10="","",IFERROR(ROUND(COUNTIF(AL10:BP10,"✓")/(COUNTIF(AL10:BP10,"✓")+COUNTIF(AL10:BP10,"✗"))*100,0),""))</f>
        <v/>
      </c>
      <c r="BT10" s="45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458">
        <f>IF($B10="","",COUNTIF(BT10:CX10,"✓"))</f>
        <v/>
      </c>
      <c r="CZ10" s="459">
        <f>IF($B10="","",COUNTIF(BT10:CX10,"✗"))</f>
        <v/>
      </c>
      <c r="DA10" s="460">
        <f>IF($B10="","",IFERROR(ROUND(COUNTIF(BT10:CX10,"✓")/(COUNTIF(BT10:CX10,"✓")+COUNTIF(BT10:CX10,"✗"))*100,0),""))</f>
        <v/>
      </c>
      <c r="DB10" s="45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458">
        <f>IF($B10="","",COUNTIF(DB10:EF10,"✓"))</f>
        <v/>
      </c>
      <c r="EH10" s="459">
        <f>IF($B10="","",COUNTIF(DB10:EF10,"✗"))</f>
        <v/>
      </c>
      <c r="EI10" s="460">
        <f>IF($B10="","",IFERROR(ROUND(COUNTIF(DB10:EF10,"✓")/(COUNTIF(DB10:EF10,"✓")+COUNTIF(DB10:EF10,"✗"))*100,0),""))</f>
        <v/>
      </c>
      <c r="EJ10" s="45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458">
        <f>IF($B10="","",COUNTIF(EJ10:FN10,"✓"))</f>
        <v/>
      </c>
      <c r="FP10" s="459">
        <f>IF($B10="","",COUNTIF(EJ10:FN10,"✗"))</f>
        <v/>
      </c>
      <c r="FQ10" s="460">
        <f>IF($B10="","",IFERROR(ROUND(COUNTIF(EJ10:FN10,"✓")/(COUNTIF(EJ10:FN10,"✓")+COUNTIF(EJ10:FN10,"✗"))*100,0),""))</f>
        <v/>
      </c>
      <c r="FR10" s="457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458">
        <f>IF($B10="","",COUNTIF(FR10:GV10,"✓"))</f>
        <v/>
      </c>
      <c r="GX10" s="459">
        <f>IF($B10="","",COUNTIF(FR10:GV10,"✗"))</f>
        <v/>
      </c>
      <c r="GY10" s="460">
        <f>IF($B10="","",IFERROR(ROUND(COUNTIF(FR10:GV10,"✓")/(COUNTIF(FR10:GV10,"✓")+COUNTIF(FR10:GV10,"✗"))*100,0),""))</f>
        <v/>
      </c>
    </row>
    <row r="11">
      <c r="A11" s="218" t="n">
        <v>3</v>
      </c>
      <c r="B11" s="219">
        <f>'ข้อมูลนักเรียน'!T11</f>
        <v/>
      </c>
      <c r="C11" s="456">
        <f>IF(B11="","",IFERROR(COUNTIF(D11:GY11,"✓")/(COUNTIF(D11:GY11,"✓")+COUNTIF(D11:GY11,"✗")),""))</f>
        <v/>
      </c>
      <c r="D11" s="45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458">
        <f>IF($B11="","",COUNTIF(D11:AH11,"✓"))</f>
        <v/>
      </c>
      <c r="AJ11" s="459">
        <f>IF($B11="","",COUNTIF(D11:AH11,"✗"))</f>
        <v/>
      </c>
      <c r="AK11" s="460">
        <f>IF($B11="","",IFERROR(ROUND(COUNTIF(D11:AH11,"✓")/(COUNTIF(D11:AH11,"✓")+COUNTIF(D11:AH11,"✗"))*100,0),""))</f>
        <v/>
      </c>
      <c r="AL11" s="45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458">
        <f>IF($B11="","",COUNTIF(AL11:BP11,"✓"))</f>
        <v/>
      </c>
      <c r="BR11" s="459">
        <f>IF($B11="","",COUNTIF(AL11:BP11,"✗"))</f>
        <v/>
      </c>
      <c r="BS11" s="460">
        <f>IF($B11="","",IFERROR(ROUND(COUNTIF(AL11:BP11,"✓")/(COUNTIF(AL11:BP11,"✓")+COUNTIF(AL11:BP11,"✗"))*100,0),""))</f>
        <v/>
      </c>
      <c r="BT11" s="45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458">
        <f>IF($B11="","",COUNTIF(BT11:CX11,"✓"))</f>
        <v/>
      </c>
      <c r="CZ11" s="459">
        <f>IF($B11="","",COUNTIF(BT11:CX11,"✗"))</f>
        <v/>
      </c>
      <c r="DA11" s="460">
        <f>IF($B11="","",IFERROR(ROUND(COUNTIF(BT11:CX11,"✓")/(COUNTIF(BT11:CX11,"✓")+COUNTIF(BT11:CX11,"✗"))*100,0),""))</f>
        <v/>
      </c>
      <c r="DB11" s="45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458">
        <f>IF($B11="","",COUNTIF(DB11:EF11,"✓"))</f>
        <v/>
      </c>
      <c r="EH11" s="459">
        <f>IF($B11="","",COUNTIF(DB11:EF11,"✗"))</f>
        <v/>
      </c>
      <c r="EI11" s="460">
        <f>IF($B11="","",IFERROR(ROUND(COUNTIF(DB11:EF11,"✓")/(COUNTIF(DB11:EF11,"✓")+COUNTIF(DB11:EF11,"✗"))*100,0),""))</f>
        <v/>
      </c>
      <c r="EJ11" s="45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458">
        <f>IF($B11="","",COUNTIF(EJ11:FN11,"✓"))</f>
        <v/>
      </c>
      <c r="FP11" s="459">
        <f>IF($B11="","",COUNTIF(EJ11:FN11,"✗"))</f>
        <v/>
      </c>
      <c r="FQ11" s="460">
        <f>IF($B11="","",IFERROR(ROUND(COUNTIF(EJ11:FN11,"✓")/(COUNTIF(EJ11:FN11,"✓")+COUNTIF(EJ11:FN11,"✗"))*100,0),""))</f>
        <v/>
      </c>
      <c r="FR11" s="457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458">
        <f>IF($B11="","",COUNTIF(FR11:GV11,"✓"))</f>
        <v/>
      </c>
      <c r="GX11" s="459">
        <f>IF($B11="","",COUNTIF(FR11:GV11,"✗"))</f>
        <v/>
      </c>
      <c r="GY11" s="460">
        <f>IF($B11="","",IFERROR(ROUND(COUNTIF(FR11:GV11,"✓")/(COUNTIF(FR11:GV11,"✓")+COUNTIF(FR11:GV11,"✗"))*100,0),""))</f>
        <v/>
      </c>
    </row>
    <row r="12">
      <c r="A12" s="226" t="n">
        <v>4</v>
      </c>
      <c r="B12" s="227">
        <f>'ข้อมูลนักเรียน'!T12</f>
        <v/>
      </c>
      <c r="C12" s="456">
        <f>IF(B12="","",IFERROR(COUNTIF(D12:GY12,"✓")/(COUNTIF(D12:GY12,"✓")+COUNTIF(D12:GY12,"✗")),""))</f>
        <v/>
      </c>
      <c r="D12" s="45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458">
        <f>IF($B12="","",COUNTIF(D12:AH12,"✓"))</f>
        <v/>
      </c>
      <c r="AJ12" s="459">
        <f>IF($B12="","",COUNTIF(D12:AH12,"✗"))</f>
        <v/>
      </c>
      <c r="AK12" s="460">
        <f>IF($B12="","",IFERROR(ROUND(COUNTIF(D12:AH12,"✓")/(COUNTIF(D12:AH12,"✓")+COUNTIF(D12:AH12,"✗"))*100,0),""))</f>
        <v/>
      </c>
      <c r="AL12" s="45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458">
        <f>IF($B12="","",COUNTIF(AL12:BP12,"✓"))</f>
        <v/>
      </c>
      <c r="BR12" s="459">
        <f>IF($B12="","",COUNTIF(AL12:BP12,"✗"))</f>
        <v/>
      </c>
      <c r="BS12" s="460">
        <f>IF($B12="","",IFERROR(ROUND(COUNTIF(AL12:BP12,"✓")/(COUNTIF(AL12:BP12,"✓")+COUNTIF(AL12:BP12,"✗"))*100,0),""))</f>
        <v/>
      </c>
      <c r="BT12" s="45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458">
        <f>IF($B12="","",COUNTIF(BT12:CX12,"✓"))</f>
        <v/>
      </c>
      <c r="CZ12" s="459">
        <f>IF($B12="","",COUNTIF(BT12:CX12,"✗"))</f>
        <v/>
      </c>
      <c r="DA12" s="460">
        <f>IF($B12="","",IFERROR(ROUND(COUNTIF(BT12:CX12,"✓")/(COUNTIF(BT12:CX12,"✓")+COUNTIF(BT12:CX12,"✗"))*100,0),""))</f>
        <v/>
      </c>
      <c r="DB12" s="45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458">
        <f>IF($B12="","",COUNTIF(DB12:EF12,"✓"))</f>
        <v/>
      </c>
      <c r="EH12" s="459">
        <f>IF($B12="","",COUNTIF(DB12:EF12,"✗"))</f>
        <v/>
      </c>
      <c r="EI12" s="460">
        <f>IF($B12="","",IFERROR(ROUND(COUNTIF(DB12:EF12,"✓")/(COUNTIF(DB12:EF12,"✓")+COUNTIF(DB12:EF12,"✗"))*100,0),""))</f>
        <v/>
      </c>
      <c r="EJ12" s="45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458">
        <f>IF($B12="","",COUNTIF(EJ12:FN12,"✓"))</f>
        <v/>
      </c>
      <c r="FP12" s="459">
        <f>IF($B12="","",COUNTIF(EJ12:FN12,"✗"))</f>
        <v/>
      </c>
      <c r="FQ12" s="460">
        <f>IF($B12="","",IFERROR(ROUND(COUNTIF(EJ12:FN12,"✓")/(COUNTIF(EJ12:FN12,"✓")+COUNTIF(EJ12:FN12,"✗"))*100,0),""))</f>
        <v/>
      </c>
      <c r="FR12" s="457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458">
        <f>IF($B12="","",COUNTIF(FR12:GV12,"✓"))</f>
        <v/>
      </c>
      <c r="GX12" s="459">
        <f>IF($B12="","",COUNTIF(FR12:GV12,"✗"))</f>
        <v/>
      </c>
      <c r="GY12" s="460">
        <f>IF($B12="","",IFERROR(ROUND(COUNTIF(FR12:GV12,"✓")/(COUNTIF(FR12:GV12,"✓")+COUNTIF(FR12:GV12,"✗"))*100,0),""))</f>
        <v/>
      </c>
    </row>
    <row r="13">
      <c r="A13" s="218" t="n">
        <v>5</v>
      </c>
      <c r="B13" s="219">
        <f>'ข้อมูลนักเรียน'!T13</f>
        <v/>
      </c>
      <c r="C13" s="456">
        <f>IF(B13="","",IFERROR(COUNTIF(D13:GY13,"✓")/(COUNTIF(D13:GY13,"✓")+COUNTIF(D13:GY13,"✗")),""))</f>
        <v/>
      </c>
      <c r="D13" s="45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458">
        <f>IF($B13="","",COUNTIF(D13:AH13,"✓"))</f>
        <v/>
      </c>
      <c r="AJ13" s="459">
        <f>IF($B13="","",COUNTIF(D13:AH13,"✗"))</f>
        <v/>
      </c>
      <c r="AK13" s="460">
        <f>IF($B13="","",IFERROR(ROUND(COUNTIF(D13:AH13,"✓")/(COUNTIF(D13:AH13,"✓")+COUNTIF(D13:AH13,"✗"))*100,0),""))</f>
        <v/>
      </c>
      <c r="AL13" s="45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458">
        <f>IF($B13="","",COUNTIF(AL13:BP13,"✓"))</f>
        <v/>
      </c>
      <c r="BR13" s="459">
        <f>IF($B13="","",COUNTIF(AL13:BP13,"✗"))</f>
        <v/>
      </c>
      <c r="BS13" s="460">
        <f>IF($B13="","",IFERROR(ROUND(COUNTIF(AL13:BP13,"✓")/(COUNTIF(AL13:BP13,"✓")+COUNTIF(AL13:BP13,"✗"))*100,0),""))</f>
        <v/>
      </c>
      <c r="BT13" s="45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458">
        <f>IF($B13="","",COUNTIF(BT13:CX13,"✓"))</f>
        <v/>
      </c>
      <c r="CZ13" s="459">
        <f>IF($B13="","",COUNTIF(BT13:CX13,"✗"))</f>
        <v/>
      </c>
      <c r="DA13" s="460">
        <f>IF($B13="","",IFERROR(ROUND(COUNTIF(BT13:CX13,"✓")/(COUNTIF(BT13:CX13,"✓")+COUNTIF(BT13:CX13,"✗"))*100,0),""))</f>
        <v/>
      </c>
      <c r="DB13" s="45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458">
        <f>IF($B13="","",COUNTIF(DB13:EF13,"✓"))</f>
        <v/>
      </c>
      <c r="EH13" s="459">
        <f>IF($B13="","",COUNTIF(DB13:EF13,"✗"))</f>
        <v/>
      </c>
      <c r="EI13" s="460">
        <f>IF($B13="","",IFERROR(ROUND(COUNTIF(DB13:EF13,"✓")/(COUNTIF(DB13:EF13,"✓")+COUNTIF(DB13:EF13,"✗"))*100,0),""))</f>
        <v/>
      </c>
      <c r="EJ13" s="45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458">
        <f>IF($B13="","",COUNTIF(EJ13:FN13,"✓"))</f>
        <v/>
      </c>
      <c r="FP13" s="459">
        <f>IF($B13="","",COUNTIF(EJ13:FN13,"✗"))</f>
        <v/>
      </c>
      <c r="FQ13" s="460">
        <f>IF($B13="","",IFERROR(ROUND(COUNTIF(EJ13:FN13,"✓")/(COUNTIF(EJ13:FN13,"✓")+COUNTIF(EJ13:FN13,"✗"))*100,0),""))</f>
        <v/>
      </c>
      <c r="FR13" s="457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458">
        <f>IF($B13="","",COUNTIF(FR13:GV13,"✓"))</f>
        <v/>
      </c>
      <c r="GX13" s="459">
        <f>IF($B13="","",COUNTIF(FR13:GV13,"✗"))</f>
        <v/>
      </c>
      <c r="GY13" s="460">
        <f>IF($B13="","",IFERROR(ROUND(COUNTIF(FR13:GV13,"✓")/(COUNTIF(FR13:GV13,"✓")+COUNTIF(FR13:GV13,"✗"))*100,0),""))</f>
        <v/>
      </c>
    </row>
    <row r="14">
      <c r="A14" s="461" t="inlineStr">
        <is>
          <t>ดื่มนม (กล่อง)</t>
        </is>
      </c>
      <c r="B14" s="184" t="n"/>
      <c r="C14" s="184" t="n"/>
      <c r="D14" s="462">
        <f>IF(D$4&lt;&gt;1,"",COUNTIF(D9:D13,"✓"))</f>
        <v/>
      </c>
      <c r="E14" s="463">
        <f>IF(E$4&lt;&gt;1,"",COUNTIF(E9:E13,"✓"))</f>
        <v/>
      </c>
      <c r="F14" s="463">
        <f>IF(F$4&lt;&gt;1,"",COUNTIF(F9:F13,"✓"))</f>
        <v/>
      </c>
      <c r="G14" s="463">
        <f>IF(G$4&lt;&gt;1,"",COUNTIF(G9:G13,"✓"))</f>
        <v/>
      </c>
      <c r="H14" s="463">
        <f>IF(H$4&lt;&gt;1,"",COUNTIF(H9:H13,"✓"))</f>
        <v/>
      </c>
      <c r="I14" s="463">
        <f>IF(I$4&lt;&gt;1,"",COUNTIF(I9:I13,"✓"))</f>
        <v/>
      </c>
      <c r="J14" s="463">
        <f>IF(J$4&lt;&gt;1,"",COUNTIF(J9:J13,"✓"))</f>
        <v/>
      </c>
      <c r="K14" s="463">
        <f>IF(K$4&lt;&gt;1,"",COUNTIF(K9:K13,"✓"))</f>
        <v/>
      </c>
      <c r="L14" s="463">
        <f>IF(L$4&lt;&gt;1,"",COUNTIF(L9:L13,"✓"))</f>
        <v/>
      </c>
      <c r="M14" s="463">
        <f>IF(M$4&lt;&gt;1,"",COUNTIF(M9:M13,"✓"))</f>
        <v/>
      </c>
      <c r="N14" s="463">
        <f>IF(N$4&lt;&gt;1,"",COUNTIF(N9:N13,"✓"))</f>
        <v/>
      </c>
      <c r="O14" s="463">
        <f>IF(O$4&lt;&gt;1,"",COUNTIF(O9:O13,"✓"))</f>
        <v/>
      </c>
      <c r="P14" s="463">
        <f>IF(P$4&lt;&gt;1,"",COUNTIF(P9:P13,"✓"))</f>
        <v/>
      </c>
      <c r="Q14" s="463">
        <f>IF(Q$4&lt;&gt;1,"",COUNTIF(Q9:Q13,"✓"))</f>
        <v/>
      </c>
      <c r="R14" s="463">
        <f>IF(R$4&lt;&gt;1,"",COUNTIF(R9:R13,"✓"))</f>
        <v/>
      </c>
      <c r="S14" s="463">
        <f>IF(S$4&lt;&gt;1,"",COUNTIF(S9:S13,"✓"))</f>
        <v/>
      </c>
      <c r="T14" s="463">
        <f>IF(T$4&lt;&gt;1,"",COUNTIF(T9:T13,"✓"))</f>
        <v/>
      </c>
      <c r="U14" s="463">
        <f>IF(U$4&lt;&gt;1,"",COUNTIF(U9:U13,"✓"))</f>
        <v/>
      </c>
      <c r="V14" s="463">
        <f>IF(V$4&lt;&gt;1,"",COUNTIF(V9:V13,"✓"))</f>
        <v/>
      </c>
      <c r="W14" s="463">
        <f>IF(W$4&lt;&gt;1,"",COUNTIF(W9:W13,"✓"))</f>
        <v/>
      </c>
      <c r="X14" s="463">
        <f>IF(X$4&lt;&gt;1,"",COUNTIF(X9:X13,"✓"))</f>
        <v/>
      </c>
      <c r="Y14" s="463">
        <f>IF(Y$4&lt;&gt;1,"",COUNTIF(Y9:Y13,"✓"))</f>
        <v/>
      </c>
      <c r="Z14" s="463">
        <f>IF(Z$4&lt;&gt;1,"",COUNTIF(Z9:Z13,"✓"))</f>
        <v/>
      </c>
      <c r="AA14" s="463">
        <f>IF(AA$4&lt;&gt;1,"",COUNTIF(AA9:AA13,"✓"))</f>
        <v/>
      </c>
      <c r="AB14" s="463">
        <f>IF(AB$4&lt;&gt;1,"",COUNTIF(AB9:AB13,"✓"))</f>
        <v/>
      </c>
      <c r="AC14" s="463">
        <f>IF(AC$4&lt;&gt;1,"",COUNTIF(AC9:AC13,"✓"))</f>
        <v/>
      </c>
      <c r="AD14" s="463">
        <f>IF(AD$4&lt;&gt;1,"",COUNTIF(AD9:AD13,"✓"))</f>
        <v/>
      </c>
      <c r="AE14" s="463">
        <f>IF(AE$4&lt;&gt;1,"",COUNTIF(AE9:AE13,"✓"))</f>
        <v/>
      </c>
      <c r="AF14" s="463">
        <f>IF(AF$4&lt;&gt;1,"",COUNTIF(AF9:AF13,"✓"))</f>
        <v/>
      </c>
      <c r="AG14" s="463">
        <f>IF(AG$4&lt;&gt;1,"",COUNTIF(AG9:AG13,"✓"))</f>
        <v/>
      </c>
      <c r="AH14" s="463">
        <f>IF(AH$4&lt;&gt;1,"",COUNTIF(AH9:AH13,"✓"))</f>
        <v/>
      </c>
      <c r="AI14" s="464">
        <f>SUM(AI9:AI13)</f>
        <v/>
      </c>
      <c r="AJ14" s="465">
        <f>SUM(AJ9:AJ13)</f>
        <v/>
      </c>
      <c r="AK14" s="466">
        <f>IFERROR(AVERAGE(AK9:AK13),"")</f>
        <v/>
      </c>
      <c r="AL14" s="462">
        <f>IF(AL$4&lt;&gt;1,"",COUNTIF(AL9:AL13,"✓"))</f>
        <v/>
      </c>
      <c r="AM14" s="463">
        <f>IF(AM$4&lt;&gt;1,"",COUNTIF(AM9:AM13,"✓"))</f>
        <v/>
      </c>
      <c r="AN14" s="463">
        <f>IF(AN$4&lt;&gt;1,"",COUNTIF(AN9:AN13,"✓"))</f>
        <v/>
      </c>
      <c r="AO14" s="463">
        <f>IF(AO$4&lt;&gt;1,"",COUNTIF(AO9:AO13,"✓"))</f>
        <v/>
      </c>
      <c r="AP14" s="463">
        <f>IF(AP$4&lt;&gt;1,"",COUNTIF(AP9:AP13,"✓"))</f>
        <v/>
      </c>
      <c r="AQ14" s="463">
        <f>IF(AQ$4&lt;&gt;1,"",COUNTIF(AQ9:AQ13,"✓"))</f>
        <v/>
      </c>
      <c r="AR14" s="463">
        <f>IF(AR$4&lt;&gt;1,"",COUNTIF(AR9:AR13,"✓"))</f>
        <v/>
      </c>
      <c r="AS14" s="463">
        <f>IF(AS$4&lt;&gt;1,"",COUNTIF(AS9:AS13,"✓"))</f>
        <v/>
      </c>
      <c r="AT14" s="463">
        <f>IF(AT$4&lt;&gt;1,"",COUNTIF(AT9:AT13,"✓"))</f>
        <v/>
      </c>
      <c r="AU14" s="463">
        <f>IF(AU$4&lt;&gt;1,"",COUNTIF(AU9:AU13,"✓"))</f>
        <v/>
      </c>
      <c r="AV14" s="463">
        <f>IF(AV$4&lt;&gt;1,"",COUNTIF(AV9:AV13,"✓"))</f>
        <v/>
      </c>
      <c r="AW14" s="463">
        <f>IF(AW$4&lt;&gt;1,"",COUNTIF(AW9:AW13,"✓"))</f>
        <v/>
      </c>
      <c r="AX14" s="463">
        <f>IF(AX$4&lt;&gt;1,"",COUNTIF(AX9:AX13,"✓"))</f>
        <v/>
      </c>
      <c r="AY14" s="463">
        <f>IF(AY$4&lt;&gt;1,"",COUNTIF(AY9:AY13,"✓"))</f>
        <v/>
      </c>
      <c r="AZ14" s="463">
        <f>IF(AZ$4&lt;&gt;1,"",COUNTIF(AZ9:AZ13,"✓"))</f>
        <v/>
      </c>
      <c r="BA14" s="463">
        <f>IF(BA$4&lt;&gt;1,"",COUNTIF(BA9:BA13,"✓"))</f>
        <v/>
      </c>
      <c r="BB14" s="463">
        <f>IF(BB$4&lt;&gt;1,"",COUNTIF(BB9:BB13,"✓"))</f>
        <v/>
      </c>
      <c r="BC14" s="463">
        <f>IF(BC$4&lt;&gt;1,"",COUNTIF(BC9:BC13,"✓"))</f>
        <v/>
      </c>
      <c r="BD14" s="463">
        <f>IF(BD$4&lt;&gt;1,"",COUNTIF(BD9:BD13,"✓"))</f>
        <v/>
      </c>
      <c r="BE14" s="463">
        <f>IF(BE$4&lt;&gt;1,"",COUNTIF(BE9:BE13,"✓"))</f>
        <v/>
      </c>
      <c r="BF14" s="463">
        <f>IF(BF$4&lt;&gt;1,"",COUNTIF(BF9:BF13,"✓"))</f>
        <v/>
      </c>
      <c r="BG14" s="463">
        <f>IF(BG$4&lt;&gt;1,"",COUNTIF(BG9:BG13,"✓"))</f>
        <v/>
      </c>
      <c r="BH14" s="463">
        <f>IF(BH$4&lt;&gt;1,"",COUNTIF(BH9:BH13,"✓"))</f>
        <v/>
      </c>
      <c r="BI14" s="463">
        <f>IF(BI$4&lt;&gt;1,"",COUNTIF(BI9:BI13,"✓"))</f>
        <v/>
      </c>
      <c r="BJ14" s="463">
        <f>IF(BJ$4&lt;&gt;1,"",COUNTIF(BJ9:BJ13,"✓"))</f>
        <v/>
      </c>
      <c r="BK14" s="463">
        <f>IF(BK$4&lt;&gt;1,"",COUNTIF(BK9:BK13,"✓"))</f>
        <v/>
      </c>
      <c r="BL14" s="463">
        <f>IF(BL$4&lt;&gt;1,"",COUNTIF(BL9:BL13,"✓"))</f>
        <v/>
      </c>
      <c r="BM14" s="463">
        <f>IF(BM$4&lt;&gt;1,"",COUNTIF(BM9:BM13,"✓"))</f>
        <v/>
      </c>
      <c r="BN14" s="463">
        <f>IF(BN$4&lt;&gt;1,"",COUNTIF(BN9:BN13,"✓"))</f>
        <v/>
      </c>
      <c r="BO14" s="463">
        <f>IF(BO$4&lt;&gt;1,"",COUNTIF(BO9:BO13,"✓"))</f>
        <v/>
      </c>
      <c r="BP14" s="463">
        <f>IF(BP$4&lt;&gt;1,"",COUNTIF(BP9:BP13,"✓"))</f>
        <v/>
      </c>
      <c r="BQ14" s="464">
        <f>SUM(BQ9:BQ13)</f>
        <v/>
      </c>
      <c r="BR14" s="465">
        <f>SUM(BR9:BR13)</f>
        <v/>
      </c>
      <c r="BS14" s="466">
        <f>IFERROR(AVERAGE(BS9:BS13),"")</f>
        <v/>
      </c>
      <c r="BT14" s="462">
        <f>IF(BT$4&lt;&gt;1,"",COUNTIF(BT9:BT13,"✓"))</f>
        <v/>
      </c>
      <c r="BU14" s="463">
        <f>IF(BU$4&lt;&gt;1,"",COUNTIF(BU9:BU13,"✓"))</f>
        <v/>
      </c>
      <c r="BV14" s="463">
        <f>IF(BV$4&lt;&gt;1,"",COUNTIF(BV9:BV13,"✓"))</f>
        <v/>
      </c>
      <c r="BW14" s="463">
        <f>IF(BW$4&lt;&gt;1,"",COUNTIF(BW9:BW13,"✓"))</f>
        <v/>
      </c>
      <c r="BX14" s="463">
        <f>IF(BX$4&lt;&gt;1,"",COUNTIF(BX9:BX13,"✓"))</f>
        <v/>
      </c>
      <c r="BY14" s="463">
        <f>IF(BY$4&lt;&gt;1,"",COUNTIF(BY9:BY13,"✓"))</f>
        <v/>
      </c>
      <c r="BZ14" s="463">
        <f>IF(BZ$4&lt;&gt;1,"",COUNTIF(BZ9:BZ13,"✓"))</f>
        <v/>
      </c>
      <c r="CA14" s="463">
        <f>IF(CA$4&lt;&gt;1,"",COUNTIF(CA9:CA13,"✓"))</f>
        <v/>
      </c>
      <c r="CB14" s="463">
        <f>IF(CB$4&lt;&gt;1,"",COUNTIF(CB9:CB13,"✓"))</f>
        <v/>
      </c>
      <c r="CC14" s="463">
        <f>IF(CC$4&lt;&gt;1,"",COUNTIF(CC9:CC13,"✓"))</f>
        <v/>
      </c>
      <c r="CD14" s="463">
        <f>IF(CD$4&lt;&gt;1,"",COUNTIF(CD9:CD13,"✓"))</f>
        <v/>
      </c>
      <c r="CE14" s="463">
        <f>IF(CE$4&lt;&gt;1,"",COUNTIF(CE9:CE13,"✓"))</f>
        <v/>
      </c>
      <c r="CF14" s="463">
        <f>IF(CF$4&lt;&gt;1,"",COUNTIF(CF9:CF13,"✓"))</f>
        <v/>
      </c>
      <c r="CG14" s="463">
        <f>IF(CG$4&lt;&gt;1,"",COUNTIF(CG9:CG13,"✓"))</f>
        <v/>
      </c>
      <c r="CH14" s="463">
        <f>IF(CH$4&lt;&gt;1,"",COUNTIF(CH9:CH13,"✓"))</f>
        <v/>
      </c>
      <c r="CI14" s="463">
        <f>IF(CI$4&lt;&gt;1,"",COUNTIF(CI9:CI13,"✓"))</f>
        <v/>
      </c>
      <c r="CJ14" s="463">
        <f>IF(CJ$4&lt;&gt;1,"",COUNTIF(CJ9:CJ13,"✓"))</f>
        <v/>
      </c>
      <c r="CK14" s="463">
        <f>IF(CK$4&lt;&gt;1,"",COUNTIF(CK9:CK13,"✓"))</f>
        <v/>
      </c>
      <c r="CL14" s="463">
        <f>IF(CL$4&lt;&gt;1,"",COUNTIF(CL9:CL13,"✓"))</f>
        <v/>
      </c>
      <c r="CM14" s="463">
        <f>IF(CM$4&lt;&gt;1,"",COUNTIF(CM9:CM13,"✓"))</f>
        <v/>
      </c>
      <c r="CN14" s="463">
        <f>IF(CN$4&lt;&gt;1,"",COUNTIF(CN9:CN13,"✓"))</f>
        <v/>
      </c>
      <c r="CO14" s="463">
        <f>IF(CO$4&lt;&gt;1,"",COUNTIF(CO9:CO13,"✓"))</f>
        <v/>
      </c>
      <c r="CP14" s="463">
        <f>IF(CP$4&lt;&gt;1,"",COUNTIF(CP9:CP13,"✓"))</f>
        <v/>
      </c>
      <c r="CQ14" s="463">
        <f>IF(CQ$4&lt;&gt;1,"",COUNTIF(CQ9:CQ13,"✓"))</f>
        <v/>
      </c>
      <c r="CR14" s="463">
        <f>IF(CR$4&lt;&gt;1,"",COUNTIF(CR9:CR13,"✓"))</f>
        <v/>
      </c>
      <c r="CS14" s="463">
        <f>IF(CS$4&lt;&gt;1,"",COUNTIF(CS9:CS13,"✓"))</f>
        <v/>
      </c>
      <c r="CT14" s="463">
        <f>IF(CT$4&lt;&gt;1,"",COUNTIF(CT9:CT13,"✓"))</f>
        <v/>
      </c>
      <c r="CU14" s="463">
        <f>IF(CU$4&lt;&gt;1,"",COUNTIF(CU9:CU13,"✓"))</f>
        <v/>
      </c>
      <c r="CV14" s="463">
        <f>IF(CV$4&lt;&gt;1,"",COUNTIF(CV9:CV13,"✓"))</f>
        <v/>
      </c>
      <c r="CW14" s="463">
        <f>IF(CW$4&lt;&gt;1,"",COUNTIF(CW9:CW13,"✓"))</f>
        <v/>
      </c>
      <c r="CX14" s="463">
        <f>IF(CX$4&lt;&gt;1,"",COUNTIF(CX9:CX13,"✓"))</f>
        <v/>
      </c>
      <c r="CY14" s="464">
        <f>SUM(CY9:CY13)</f>
        <v/>
      </c>
      <c r="CZ14" s="465">
        <f>SUM(CZ9:CZ13)</f>
        <v/>
      </c>
      <c r="DA14" s="466">
        <f>IFERROR(AVERAGE(DA9:DA13),"")</f>
        <v/>
      </c>
      <c r="DB14" s="462">
        <f>IF(DB$4&lt;&gt;1,"",COUNTIF(DB9:DB13,"✓"))</f>
        <v/>
      </c>
      <c r="DC14" s="463">
        <f>IF(DC$4&lt;&gt;1,"",COUNTIF(DC9:DC13,"✓"))</f>
        <v/>
      </c>
      <c r="DD14" s="463">
        <f>IF(DD$4&lt;&gt;1,"",COUNTIF(DD9:DD13,"✓"))</f>
        <v/>
      </c>
      <c r="DE14" s="463">
        <f>IF(DE$4&lt;&gt;1,"",COUNTIF(DE9:DE13,"✓"))</f>
        <v/>
      </c>
      <c r="DF14" s="463">
        <f>IF(DF$4&lt;&gt;1,"",COUNTIF(DF9:DF13,"✓"))</f>
        <v/>
      </c>
      <c r="DG14" s="463">
        <f>IF(DG$4&lt;&gt;1,"",COUNTIF(DG9:DG13,"✓"))</f>
        <v/>
      </c>
      <c r="DH14" s="463">
        <f>IF(DH$4&lt;&gt;1,"",COUNTIF(DH9:DH13,"✓"))</f>
        <v/>
      </c>
      <c r="DI14" s="463">
        <f>IF(DI$4&lt;&gt;1,"",COUNTIF(DI9:DI13,"✓"))</f>
        <v/>
      </c>
      <c r="DJ14" s="463">
        <f>IF(DJ$4&lt;&gt;1,"",COUNTIF(DJ9:DJ13,"✓"))</f>
        <v/>
      </c>
      <c r="DK14" s="463">
        <f>IF(DK$4&lt;&gt;1,"",COUNTIF(DK9:DK13,"✓"))</f>
        <v/>
      </c>
      <c r="DL14" s="463">
        <f>IF(DL$4&lt;&gt;1,"",COUNTIF(DL9:DL13,"✓"))</f>
        <v/>
      </c>
      <c r="DM14" s="463">
        <f>IF(DM$4&lt;&gt;1,"",COUNTIF(DM9:DM13,"✓"))</f>
        <v/>
      </c>
      <c r="DN14" s="463">
        <f>IF(DN$4&lt;&gt;1,"",COUNTIF(DN9:DN13,"✓"))</f>
        <v/>
      </c>
      <c r="DO14" s="463">
        <f>IF(DO$4&lt;&gt;1,"",COUNTIF(DO9:DO13,"✓"))</f>
        <v/>
      </c>
      <c r="DP14" s="463">
        <f>IF(DP$4&lt;&gt;1,"",COUNTIF(DP9:DP13,"✓"))</f>
        <v/>
      </c>
      <c r="DQ14" s="463">
        <f>IF(DQ$4&lt;&gt;1,"",COUNTIF(DQ9:DQ13,"✓"))</f>
        <v/>
      </c>
      <c r="DR14" s="463">
        <f>IF(DR$4&lt;&gt;1,"",COUNTIF(DR9:DR13,"✓"))</f>
        <v/>
      </c>
      <c r="DS14" s="463">
        <f>IF(DS$4&lt;&gt;1,"",COUNTIF(DS9:DS13,"✓"))</f>
        <v/>
      </c>
      <c r="DT14" s="463">
        <f>IF(DT$4&lt;&gt;1,"",COUNTIF(DT9:DT13,"✓"))</f>
        <v/>
      </c>
      <c r="DU14" s="463">
        <f>IF(DU$4&lt;&gt;1,"",COUNTIF(DU9:DU13,"✓"))</f>
        <v/>
      </c>
      <c r="DV14" s="463">
        <f>IF(DV$4&lt;&gt;1,"",COUNTIF(DV9:DV13,"✓"))</f>
        <v/>
      </c>
      <c r="DW14" s="463">
        <f>IF(DW$4&lt;&gt;1,"",COUNTIF(DW9:DW13,"✓"))</f>
        <v/>
      </c>
      <c r="DX14" s="463">
        <f>IF(DX$4&lt;&gt;1,"",COUNTIF(DX9:DX13,"✓"))</f>
        <v/>
      </c>
      <c r="DY14" s="463">
        <f>IF(DY$4&lt;&gt;1,"",COUNTIF(DY9:DY13,"✓"))</f>
        <v/>
      </c>
      <c r="DZ14" s="463">
        <f>IF(DZ$4&lt;&gt;1,"",COUNTIF(DZ9:DZ13,"✓"))</f>
        <v/>
      </c>
      <c r="EA14" s="463">
        <f>IF(EA$4&lt;&gt;1,"",COUNTIF(EA9:EA13,"✓"))</f>
        <v/>
      </c>
      <c r="EB14" s="463">
        <f>IF(EB$4&lt;&gt;1,"",COUNTIF(EB9:EB13,"✓"))</f>
        <v/>
      </c>
      <c r="EC14" s="463">
        <f>IF(EC$4&lt;&gt;1,"",COUNTIF(EC9:EC13,"✓"))</f>
        <v/>
      </c>
      <c r="ED14" s="463">
        <f>IF(ED$4&lt;&gt;1,"",COUNTIF(ED9:ED13,"✓"))</f>
        <v/>
      </c>
      <c r="EE14" s="463">
        <f>IF(EE$4&lt;&gt;1,"",COUNTIF(EE9:EE13,"✓"))</f>
        <v/>
      </c>
      <c r="EF14" s="463">
        <f>IF(EF$4&lt;&gt;1,"",COUNTIF(EF9:EF13,"✓"))</f>
        <v/>
      </c>
      <c r="EG14" s="464">
        <f>SUM(EG9:EG13)</f>
        <v/>
      </c>
      <c r="EH14" s="465">
        <f>SUM(EH9:EH13)</f>
        <v/>
      </c>
      <c r="EI14" s="466">
        <f>IFERROR(AVERAGE(EI9:EI13),"")</f>
        <v/>
      </c>
      <c r="EJ14" s="462">
        <f>IF(EJ$4&lt;&gt;1,"",COUNTIF(EJ9:EJ13,"✓"))</f>
        <v/>
      </c>
      <c r="EK14" s="463">
        <f>IF(EK$4&lt;&gt;1,"",COUNTIF(EK9:EK13,"✓"))</f>
        <v/>
      </c>
      <c r="EL14" s="463">
        <f>IF(EL$4&lt;&gt;1,"",COUNTIF(EL9:EL13,"✓"))</f>
        <v/>
      </c>
      <c r="EM14" s="463">
        <f>IF(EM$4&lt;&gt;1,"",COUNTIF(EM9:EM13,"✓"))</f>
        <v/>
      </c>
      <c r="EN14" s="463">
        <f>IF(EN$4&lt;&gt;1,"",COUNTIF(EN9:EN13,"✓"))</f>
        <v/>
      </c>
      <c r="EO14" s="463">
        <f>IF(EO$4&lt;&gt;1,"",COUNTIF(EO9:EO13,"✓"))</f>
        <v/>
      </c>
      <c r="EP14" s="463">
        <f>IF(EP$4&lt;&gt;1,"",COUNTIF(EP9:EP13,"✓"))</f>
        <v/>
      </c>
      <c r="EQ14" s="463">
        <f>IF(EQ$4&lt;&gt;1,"",COUNTIF(EQ9:EQ13,"✓"))</f>
        <v/>
      </c>
      <c r="ER14" s="463">
        <f>IF(ER$4&lt;&gt;1,"",COUNTIF(ER9:ER13,"✓"))</f>
        <v/>
      </c>
      <c r="ES14" s="463">
        <f>IF(ES$4&lt;&gt;1,"",COUNTIF(ES9:ES13,"✓"))</f>
        <v/>
      </c>
      <c r="ET14" s="463">
        <f>IF(ET$4&lt;&gt;1,"",COUNTIF(ET9:ET13,"✓"))</f>
        <v/>
      </c>
      <c r="EU14" s="463">
        <f>IF(EU$4&lt;&gt;1,"",COUNTIF(EU9:EU13,"✓"))</f>
        <v/>
      </c>
      <c r="EV14" s="463">
        <f>IF(EV$4&lt;&gt;1,"",COUNTIF(EV9:EV13,"✓"))</f>
        <v/>
      </c>
      <c r="EW14" s="463">
        <f>IF(EW$4&lt;&gt;1,"",COUNTIF(EW9:EW13,"✓"))</f>
        <v/>
      </c>
      <c r="EX14" s="463">
        <f>IF(EX$4&lt;&gt;1,"",COUNTIF(EX9:EX13,"✓"))</f>
        <v/>
      </c>
      <c r="EY14" s="463">
        <f>IF(EY$4&lt;&gt;1,"",COUNTIF(EY9:EY13,"✓"))</f>
        <v/>
      </c>
      <c r="EZ14" s="463">
        <f>IF(EZ$4&lt;&gt;1,"",COUNTIF(EZ9:EZ13,"✓"))</f>
        <v/>
      </c>
      <c r="FA14" s="463">
        <f>IF(FA$4&lt;&gt;1,"",COUNTIF(FA9:FA13,"✓"))</f>
        <v/>
      </c>
      <c r="FB14" s="463">
        <f>IF(FB$4&lt;&gt;1,"",COUNTIF(FB9:FB13,"✓"))</f>
        <v/>
      </c>
      <c r="FC14" s="463">
        <f>IF(FC$4&lt;&gt;1,"",COUNTIF(FC9:FC13,"✓"))</f>
        <v/>
      </c>
      <c r="FD14" s="463">
        <f>IF(FD$4&lt;&gt;1,"",COUNTIF(FD9:FD13,"✓"))</f>
        <v/>
      </c>
      <c r="FE14" s="463">
        <f>IF(FE$4&lt;&gt;1,"",COUNTIF(FE9:FE13,"✓"))</f>
        <v/>
      </c>
      <c r="FF14" s="463">
        <f>IF(FF$4&lt;&gt;1,"",COUNTIF(FF9:FF13,"✓"))</f>
        <v/>
      </c>
      <c r="FG14" s="463">
        <f>IF(FG$4&lt;&gt;1,"",COUNTIF(FG9:FG13,"✓"))</f>
        <v/>
      </c>
      <c r="FH14" s="463">
        <f>IF(FH$4&lt;&gt;1,"",COUNTIF(FH9:FH13,"✓"))</f>
        <v/>
      </c>
      <c r="FI14" s="463">
        <f>IF(FI$4&lt;&gt;1,"",COUNTIF(FI9:FI13,"✓"))</f>
        <v/>
      </c>
      <c r="FJ14" s="463">
        <f>IF(FJ$4&lt;&gt;1,"",COUNTIF(FJ9:FJ13,"✓"))</f>
        <v/>
      </c>
      <c r="FK14" s="463">
        <f>IF(FK$4&lt;&gt;1,"",COUNTIF(FK9:FK13,"✓"))</f>
        <v/>
      </c>
      <c r="FL14" s="463">
        <f>IF(FL$4&lt;&gt;1,"",COUNTIF(FL9:FL13,"✓"))</f>
        <v/>
      </c>
      <c r="FM14" s="463">
        <f>IF(FM$4&lt;&gt;1,"",COUNTIF(FM9:FM13,"✓"))</f>
        <v/>
      </c>
      <c r="FN14" s="463">
        <f>IF(FN$4&lt;&gt;1,"",COUNTIF(FN9:FN13,"✓"))</f>
        <v/>
      </c>
      <c r="FO14" s="464">
        <f>SUM(FO9:FO13)</f>
        <v/>
      </c>
      <c r="FP14" s="465">
        <f>SUM(FP9:FP13)</f>
        <v/>
      </c>
      <c r="FQ14" s="466">
        <f>IFERROR(AVERAGE(FQ9:FQ13),"")</f>
        <v/>
      </c>
      <c r="FR14" s="462">
        <f>IF(FR$4&lt;&gt;1,"",COUNTIF(FR9:FR13,"✓"))</f>
        <v/>
      </c>
      <c r="FS14" s="463">
        <f>IF(FS$4&lt;&gt;1,"",COUNTIF(FS9:FS13,"✓"))</f>
        <v/>
      </c>
      <c r="FT14" s="463">
        <f>IF(FT$4&lt;&gt;1,"",COUNTIF(FT9:FT13,"✓"))</f>
        <v/>
      </c>
      <c r="FU14" s="463">
        <f>IF(FU$4&lt;&gt;1,"",COUNTIF(FU9:FU13,"✓"))</f>
        <v/>
      </c>
      <c r="FV14" s="463">
        <f>IF(FV$4&lt;&gt;1,"",COUNTIF(FV9:FV13,"✓"))</f>
        <v/>
      </c>
      <c r="FW14" s="463">
        <f>IF(FW$4&lt;&gt;1,"",COUNTIF(FW9:FW13,"✓"))</f>
        <v/>
      </c>
      <c r="FX14" s="463">
        <f>IF(FX$4&lt;&gt;1,"",COUNTIF(FX9:FX13,"✓"))</f>
        <v/>
      </c>
      <c r="FY14" s="463">
        <f>IF(FY$4&lt;&gt;1,"",COUNTIF(FY9:FY13,"✓"))</f>
        <v/>
      </c>
      <c r="FZ14" s="463">
        <f>IF(FZ$4&lt;&gt;1,"",COUNTIF(FZ9:FZ13,"✓"))</f>
        <v/>
      </c>
      <c r="GA14" s="463">
        <f>IF(GA$4&lt;&gt;1,"",COUNTIF(GA9:GA13,"✓"))</f>
        <v/>
      </c>
      <c r="GB14" s="463">
        <f>IF(GB$4&lt;&gt;1,"",COUNTIF(GB9:GB13,"✓"))</f>
        <v/>
      </c>
      <c r="GC14" s="463">
        <f>IF(GC$4&lt;&gt;1,"",COUNTIF(GC9:GC13,"✓"))</f>
        <v/>
      </c>
      <c r="GD14" s="463">
        <f>IF(GD$4&lt;&gt;1,"",COUNTIF(GD9:GD13,"✓"))</f>
        <v/>
      </c>
      <c r="GE14" s="463">
        <f>IF(GE$4&lt;&gt;1,"",COUNTIF(GE9:GE13,"✓"))</f>
        <v/>
      </c>
      <c r="GF14" s="463">
        <f>IF(GF$4&lt;&gt;1,"",COUNTIF(GF9:GF13,"✓"))</f>
        <v/>
      </c>
      <c r="GG14" s="463">
        <f>IF(GG$4&lt;&gt;1,"",COUNTIF(GG9:GG13,"✓"))</f>
        <v/>
      </c>
      <c r="GH14" s="463">
        <f>IF(GH$4&lt;&gt;1,"",COUNTIF(GH9:GH13,"✓"))</f>
        <v/>
      </c>
      <c r="GI14" s="463">
        <f>IF(GI$4&lt;&gt;1,"",COUNTIF(GI9:GI13,"✓"))</f>
        <v/>
      </c>
      <c r="GJ14" s="463">
        <f>IF(GJ$4&lt;&gt;1,"",COUNTIF(GJ9:GJ13,"✓"))</f>
        <v/>
      </c>
      <c r="GK14" s="463">
        <f>IF(GK$4&lt;&gt;1,"",COUNTIF(GK9:GK13,"✓"))</f>
        <v/>
      </c>
      <c r="GL14" s="463">
        <f>IF(GL$4&lt;&gt;1,"",COUNTIF(GL9:GL13,"✓"))</f>
        <v/>
      </c>
      <c r="GM14" s="463">
        <f>IF(GM$4&lt;&gt;1,"",COUNTIF(GM9:GM13,"✓"))</f>
        <v/>
      </c>
      <c r="GN14" s="463">
        <f>IF(GN$4&lt;&gt;1,"",COUNTIF(GN9:GN13,"✓"))</f>
        <v/>
      </c>
      <c r="GO14" s="463">
        <f>IF(GO$4&lt;&gt;1,"",COUNTIF(GO9:GO13,"✓"))</f>
        <v/>
      </c>
      <c r="GP14" s="463">
        <f>IF(GP$4&lt;&gt;1,"",COUNTIF(GP9:GP13,"✓"))</f>
        <v/>
      </c>
      <c r="GQ14" s="463">
        <f>IF(GQ$4&lt;&gt;1,"",COUNTIF(GQ9:GQ13,"✓"))</f>
        <v/>
      </c>
      <c r="GR14" s="463">
        <f>IF(GR$4&lt;&gt;1,"",COUNTIF(GR9:GR13,"✓"))</f>
        <v/>
      </c>
      <c r="GS14" s="463">
        <f>IF(GS$4&lt;&gt;1,"",COUNTIF(GS9:GS13,"✓"))</f>
        <v/>
      </c>
      <c r="GT14" s="463">
        <f>IF(GT$4&lt;&gt;1,"",COUNTIF(GT9:GT13,"✓"))</f>
        <v/>
      </c>
      <c r="GU14" s="463">
        <f>IF(GU$4&lt;&gt;1,"",COUNTIF(GU9:GU13,"✓"))</f>
        <v/>
      </c>
      <c r="GV14" s="463">
        <f>IF(GV$4&lt;&gt;1,"",COUNTIF(GV9:GV13,"✓"))</f>
        <v/>
      </c>
      <c r="GW14" s="464">
        <f>SUM(GW9:GW13)</f>
        <v/>
      </c>
      <c r="GX14" s="465">
        <f>SUM(GX9:GX13)</f>
        <v/>
      </c>
      <c r="GY14" s="466">
        <f>IFERROR(AVERAGE(GY9:GY13),"")</f>
        <v/>
      </c>
    </row>
    <row r="15">
      <c r="A15" s="461" t="inlineStr">
        <is>
          <t>ไม่ดื่ม (คน)</t>
        </is>
      </c>
      <c r="B15" s="184" t="n"/>
      <c r="C15" s="184" t="n"/>
      <c r="D15" s="462">
        <f>IF(D$4&lt;&gt;1,"",COUNTIF(D9:D13,"✗"))</f>
        <v/>
      </c>
      <c r="E15" s="463">
        <f>IF(E$4&lt;&gt;1,"",COUNTIF(E9:E13,"✗"))</f>
        <v/>
      </c>
      <c r="F15" s="463">
        <f>IF(F$4&lt;&gt;1,"",COUNTIF(F9:F13,"✗"))</f>
        <v/>
      </c>
      <c r="G15" s="463">
        <f>IF(G$4&lt;&gt;1,"",COUNTIF(G9:G13,"✗"))</f>
        <v/>
      </c>
      <c r="H15" s="463">
        <f>IF(H$4&lt;&gt;1,"",COUNTIF(H9:H13,"✗"))</f>
        <v/>
      </c>
      <c r="I15" s="463">
        <f>IF(I$4&lt;&gt;1,"",COUNTIF(I9:I13,"✗"))</f>
        <v/>
      </c>
      <c r="J15" s="463">
        <f>IF(J$4&lt;&gt;1,"",COUNTIF(J9:J13,"✗"))</f>
        <v/>
      </c>
      <c r="K15" s="463">
        <f>IF(K$4&lt;&gt;1,"",COUNTIF(K9:K13,"✗"))</f>
        <v/>
      </c>
      <c r="L15" s="463">
        <f>IF(L$4&lt;&gt;1,"",COUNTIF(L9:L13,"✗"))</f>
        <v/>
      </c>
      <c r="M15" s="463">
        <f>IF(M$4&lt;&gt;1,"",COUNTIF(M9:M13,"✗"))</f>
        <v/>
      </c>
      <c r="N15" s="463">
        <f>IF(N$4&lt;&gt;1,"",COUNTIF(N9:N13,"✗"))</f>
        <v/>
      </c>
      <c r="O15" s="463">
        <f>IF(O$4&lt;&gt;1,"",COUNTIF(O9:O13,"✗"))</f>
        <v/>
      </c>
      <c r="P15" s="463">
        <f>IF(P$4&lt;&gt;1,"",COUNTIF(P9:P13,"✗"))</f>
        <v/>
      </c>
      <c r="Q15" s="463">
        <f>IF(Q$4&lt;&gt;1,"",COUNTIF(Q9:Q13,"✗"))</f>
        <v/>
      </c>
      <c r="R15" s="463">
        <f>IF(R$4&lt;&gt;1,"",COUNTIF(R9:R13,"✗"))</f>
        <v/>
      </c>
      <c r="S15" s="463">
        <f>IF(S$4&lt;&gt;1,"",COUNTIF(S9:S13,"✗"))</f>
        <v/>
      </c>
      <c r="T15" s="463">
        <f>IF(T$4&lt;&gt;1,"",COUNTIF(T9:T13,"✗"))</f>
        <v/>
      </c>
      <c r="U15" s="463">
        <f>IF(U$4&lt;&gt;1,"",COUNTIF(U9:U13,"✗"))</f>
        <v/>
      </c>
      <c r="V15" s="463">
        <f>IF(V$4&lt;&gt;1,"",COUNTIF(V9:V13,"✗"))</f>
        <v/>
      </c>
      <c r="W15" s="463">
        <f>IF(W$4&lt;&gt;1,"",COUNTIF(W9:W13,"✗"))</f>
        <v/>
      </c>
      <c r="X15" s="463">
        <f>IF(X$4&lt;&gt;1,"",COUNTIF(X9:X13,"✗"))</f>
        <v/>
      </c>
      <c r="Y15" s="463">
        <f>IF(Y$4&lt;&gt;1,"",COUNTIF(Y9:Y13,"✗"))</f>
        <v/>
      </c>
      <c r="Z15" s="463">
        <f>IF(Z$4&lt;&gt;1,"",COUNTIF(Z9:Z13,"✗"))</f>
        <v/>
      </c>
      <c r="AA15" s="463">
        <f>IF(AA$4&lt;&gt;1,"",COUNTIF(AA9:AA13,"✗"))</f>
        <v/>
      </c>
      <c r="AB15" s="463">
        <f>IF(AB$4&lt;&gt;1,"",COUNTIF(AB9:AB13,"✗"))</f>
        <v/>
      </c>
      <c r="AC15" s="463">
        <f>IF(AC$4&lt;&gt;1,"",COUNTIF(AC9:AC13,"✗"))</f>
        <v/>
      </c>
      <c r="AD15" s="463">
        <f>IF(AD$4&lt;&gt;1,"",COUNTIF(AD9:AD13,"✗"))</f>
        <v/>
      </c>
      <c r="AE15" s="463">
        <f>IF(AE$4&lt;&gt;1,"",COUNTIF(AE9:AE13,"✗"))</f>
        <v/>
      </c>
      <c r="AF15" s="463">
        <f>IF(AF$4&lt;&gt;1,"",COUNTIF(AF9:AF13,"✗"))</f>
        <v/>
      </c>
      <c r="AG15" s="463">
        <f>IF(AG$4&lt;&gt;1,"",COUNTIF(AG9:AG13,"✗"))</f>
        <v/>
      </c>
      <c r="AH15" s="463">
        <f>IF(AH$4&lt;&gt;1,"",COUNTIF(AH9:AH13,"✗"))</f>
        <v/>
      </c>
      <c r="AI15" s="464" t="n"/>
      <c r="AJ15" s="465" t="n"/>
      <c r="AK15" s="466" t="n"/>
      <c r="AL15" s="462">
        <f>IF(AL$4&lt;&gt;1,"",COUNTIF(AL9:AL13,"✗"))</f>
        <v/>
      </c>
      <c r="AM15" s="463">
        <f>IF(AM$4&lt;&gt;1,"",COUNTIF(AM9:AM13,"✗"))</f>
        <v/>
      </c>
      <c r="AN15" s="463">
        <f>IF(AN$4&lt;&gt;1,"",COUNTIF(AN9:AN13,"✗"))</f>
        <v/>
      </c>
      <c r="AO15" s="463">
        <f>IF(AO$4&lt;&gt;1,"",COUNTIF(AO9:AO13,"✗"))</f>
        <v/>
      </c>
      <c r="AP15" s="463">
        <f>IF(AP$4&lt;&gt;1,"",COUNTIF(AP9:AP13,"✗"))</f>
        <v/>
      </c>
      <c r="AQ15" s="463">
        <f>IF(AQ$4&lt;&gt;1,"",COUNTIF(AQ9:AQ13,"✗"))</f>
        <v/>
      </c>
      <c r="AR15" s="463">
        <f>IF(AR$4&lt;&gt;1,"",COUNTIF(AR9:AR13,"✗"))</f>
        <v/>
      </c>
      <c r="AS15" s="463">
        <f>IF(AS$4&lt;&gt;1,"",COUNTIF(AS9:AS13,"✗"))</f>
        <v/>
      </c>
      <c r="AT15" s="463">
        <f>IF(AT$4&lt;&gt;1,"",COUNTIF(AT9:AT13,"✗"))</f>
        <v/>
      </c>
      <c r="AU15" s="463">
        <f>IF(AU$4&lt;&gt;1,"",COUNTIF(AU9:AU13,"✗"))</f>
        <v/>
      </c>
      <c r="AV15" s="463">
        <f>IF(AV$4&lt;&gt;1,"",COUNTIF(AV9:AV13,"✗"))</f>
        <v/>
      </c>
      <c r="AW15" s="463">
        <f>IF(AW$4&lt;&gt;1,"",COUNTIF(AW9:AW13,"✗"))</f>
        <v/>
      </c>
      <c r="AX15" s="463">
        <f>IF(AX$4&lt;&gt;1,"",COUNTIF(AX9:AX13,"✗"))</f>
        <v/>
      </c>
      <c r="AY15" s="463">
        <f>IF(AY$4&lt;&gt;1,"",COUNTIF(AY9:AY13,"✗"))</f>
        <v/>
      </c>
      <c r="AZ15" s="463">
        <f>IF(AZ$4&lt;&gt;1,"",COUNTIF(AZ9:AZ13,"✗"))</f>
        <v/>
      </c>
      <c r="BA15" s="463">
        <f>IF(BA$4&lt;&gt;1,"",COUNTIF(BA9:BA13,"✗"))</f>
        <v/>
      </c>
      <c r="BB15" s="463">
        <f>IF(BB$4&lt;&gt;1,"",COUNTIF(BB9:BB13,"✗"))</f>
        <v/>
      </c>
      <c r="BC15" s="463">
        <f>IF(BC$4&lt;&gt;1,"",COUNTIF(BC9:BC13,"✗"))</f>
        <v/>
      </c>
      <c r="BD15" s="463">
        <f>IF(BD$4&lt;&gt;1,"",COUNTIF(BD9:BD13,"✗"))</f>
        <v/>
      </c>
      <c r="BE15" s="463">
        <f>IF(BE$4&lt;&gt;1,"",COUNTIF(BE9:BE13,"✗"))</f>
        <v/>
      </c>
      <c r="BF15" s="463">
        <f>IF(BF$4&lt;&gt;1,"",COUNTIF(BF9:BF13,"✗"))</f>
        <v/>
      </c>
      <c r="BG15" s="463">
        <f>IF(BG$4&lt;&gt;1,"",COUNTIF(BG9:BG13,"✗"))</f>
        <v/>
      </c>
      <c r="BH15" s="463">
        <f>IF(BH$4&lt;&gt;1,"",COUNTIF(BH9:BH13,"✗"))</f>
        <v/>
      </c>
      <c r="BI15" s="463">
        <f>IF(BI$4&lt;&gt;1,"",COUNTIF(BI9:BI13,"✗"))</f>
        <v/>
      </c>
      <c r="BJ15" s="463">
        <f>IF(BJ$4&lt;&gt;1,"",COUNTIF(BJ9:BJ13,"✗"))</f>
        <v/>
      </c>
      <c r="BK15" s="463">
        <f>IF(BK$4&lt;&gt;1,"",COUNTIF(BK9:BK13,"✗"))</f>
        <v/>
      </c>
      <c r="BL15" s="463">
        <f>IF(BL$4&lt;&gt;1,"",COUNTIF(BL9:BL13,"✗"))</f>
        <v/>
      </c>
      <c r="BM15" s="463">
        <f>IF(BM$4&lt;&gt;1,"",COUNTIF(BM9:BM13,"✗"))</f>
        <v/>
      </c>
      <c r="BN15" s="463">
        <f>IF(BN$4&lt;&gt;1,"",COUNTIF(BN9:BN13,"✗"))</f>
        <v/>
      </c>
      <c r="BO15" s="463">
        <f>IF(BO$4&lt;&gt;1,"",COUNTIF(BO9:BO13,"✗"))</f>
        <v/>
      </c>
      <c r="BP15" s="463">
        <f>IF(BP$4&lt;&gt;1,"",COUNTIF(BP9:BP13,"✗"))</f>
        <v/>
      </c>
      <c r="BQ15" s="464" t="n"/>
      <c r="BR15" s="465" t="n"/>
      <c r="BS15" s="466" t="n"/>
      <c r="BT15" s="462">
        <f>IF(BT$4&lt;&gt;1,"",COUNTIF(BT9:BT13,"✗"))</f>
        <v/>
      </c>
      <c r="BU15" s="463">
        <f>IF(BU$4&lt;&gt;1,"",COUNTIF(BU9:BU13,"✗"))</f>
        <v/>
      </c>
      <c r="BV15" s="463">
        <f>IF(BV$4&lt;&gt;1,"",COUNTIF(BV9:BV13,"✗"))</f>
        <v/>
      </c>
      <c r="BW15" s="463">
        <f>IF(BW$4&lt;&gt;1,"",COUNTIF(BW9:BW13,"✗"))</f>
        <v/>
      </c>
      <c r="BX15" s="463">
        <f>IF(BX$4&lt;&gt;1,"",COUNTIF(BX9:BX13,"✗"))</f>
        <v/>
      </c>
      <c r="BY15" s="463">
        <f>IF(BY$4&lt;&gt;1,"",COUNTIF(BY9:BY13,"✗"))</f>
        <v/>
      </c>
      <c r="BZ15" s="463">
        <f>IF(BZ$4&lt;&gt;1,"",COUNTIF(BZ9:BZ13,"✗"))</f>
        <v/>
      </c>
      <c r="CA15" s="463">
        <f>IF(CA$4&lt;&gt;1,"",COUNTIF(CA9:CA13,"✗"))</f>
        <v/>
      </c>
      <c r="CB15" s="463">
        <f>IF(CB$4&lt;&gt;1,"",COUNTIF(CB9:CB13,"✗"))</f>
        <v/>
      </c>
      <c r="CC15" s="463">
        <f>IF(CC$4&lt;&gt;1,"",COUNTIF(CC9:CC13,"✗"))</f>
        <v/>
      </c>
      <c r="CD15" s="463">
        <f>IF(CD$4&lt;&gt;1,"",COUNTIF(CD9:CD13,"✗"))</f>
        <v/>
      </c>
      <c r="CE15" s="463">
        <f>IF(CE$4&lt;&gt;1,"",COUNTIF(CE9:CE13,"✗"))</f>
        <v/>
      </c>
      <c r="CF15" s="463">
        <f>IF(CF$4&lt;&gt;1,"",COUNTIF(CF9:CF13,"✗"))</f>
        <v/>
      </c>
      <c r="CG15" s="463">
        <f>IF(CG$4&lt;&gt;1,"",COUNTIF(CG9:CG13,"✗"))</f>
        <v/>
      </c>
      <c r="CH15" s="463">
        <f>IF(CH$4&lt;&gt;1,"",COUNTIF(CH9:CH13,"✗"))</f>
        <v/>
      </c>
      <c r="CI15" s="463">
        <f>IF(CI$4&lt;&gt;1,"",COUNTIF(CI9:CI13,"✗"))</f>
        <v/>
      </c>
      <c r="CJ15" s="463">
        <f>IF(CJ$4&lt;&gt;1,"",COUNTIF(CJ9:CJ13,"✗"))</f>
        <v/>
      </c>
      <c r="CK15" s="463">
        <f>IF(CK$4&lt;&gt;1,"",COUNTIF(CK9:CK13,"✗"))</f>
        <v/>
      </c>
      <c r="CL15" s="463">
        <f>IF(CL$4&lt;&gt;1,"",COUNTIF(CL9:CL13,"✗"))</f>
        <v/>
      </c>
      <c r="CM15" s="463">
        <f>IF(CM$4&lt;&gt;1,"",COUNTIF(CM9:CM13,"✗"))</f>
        <v/>
      </c>
      <c r="CN15" s="463">
        <f>IF(CN$4&lt;&gt;1,"",COUNTIF(CN9:CN13,"✗"))</f>
        <v/>
      </c>
      <c r="CO15" s="463">
        <f>IF(CO$4&lt;&gt;1,"",COUNTIF(CO9:CO13,"✗"))</f>
        <v/>
      </c>
      <c r="CP15" s="463">
        <f>IF(CP$4&lt;&gt;1,"",COUNTIF(CP9:CP13,"✗"))</f>
        <v/>
      </c>
      <c r="CQ15" s="463">
        <f>IF(CQ$4&lt;&gt;1,"",COUNTIF(CQ9:CQ13,"✗"))</f>
        <v/>
      </c>
      <c r="CR15" s="463">
        <f>IF(CR$4&lt;&gt;1,"",COUNTIF(CR9:CR13,"✗"))</f>
        <v/>
      </c>
      <c r="CS15" s="463">
        <f>IF(CS$4&lt;&gt;1,"",COUNTIF(CS9:CS13,"✗"))</f>
        <v/>
      </c>
      <c r="CT15" s="463">
        <f>IF(CT$4&lt;&gt;1,"",COUNTIF(CT9:CT13,"✗"))</f>
        <v/>
      </c>
      <c r="CU15" s="463">
        <f>IF(CU$4&lt;&gt;1,"",COUNTIF(CU9:CU13,"✗"))</f>
        <v/>
      </c>
      <c r="CV15" s="463">
        <f>IF(CV$4&lt;&gt;1,"",COUNTIF(CV9:CV13,"✗"))</f>
        <v/>
      </c>
      <c r="CW15" s="463">
        <f>IF(CW$4&lt;&gt;1,"",COUNTIF(CW9:CW13,"✗"))</f>
        <v/>
      </c>
      <c r="CX15" s="463">
        <f>IF(CX$4&lt;&gt;1,"",COUNTIF(CX9:CX13,"✗"))</f>
        <v/>
      </c>
      <c r="CY15" s="464" t="n"/>
      <c r="CZ15" s="465" t="n"/>
      <c r="DA15" s="466" t="n"/>
      <c r="DB15" s="462">
        <f>IF(DB$4&lt;&gt;1,"",COUNTIF(DB9:DB13,"✗"))</f>
        <v/>
      </c>
      <c r="DC15" s="463">
        <f>IF(DC$4&lt;&gt;1,"",COUNTIF(DC9:DC13,"✗"))</f>
        <v/>
      </c>
      <c r="DD15" s="463">
        <f>IF(DD$4&lt;&gt;1,"",COUNTIF(DD9:DD13,"✗"))</f>
        <v/>
      </c>
      <c r="DE15" s="463">
        <f>IF(DE$4&lt;&gt;1,"",COUNTIF(DE9:DE13,"✗"))</f>
        <v/>
      </c>
      <c r="DF15" s="463">
        <f>IF(DF$4&lt;&gt;1,"",COUNTIF(DF9:DF13,"✗"))</f>
        <v/>
      </c>
      <c r="DG15" s="463">
        <f>IF(DG$4&lt;&gt;1,"",COUNTIF(DG9:DG13,"✗"))</f>
        <v/>
      </c>
      <c r="DH15" s="463">
        <f>IF(DH$4&lt;&gt;1,"",COUNTIF(DH9:DH13,"✗"))</f>
        <v/>
      </c>
      <c r="DI15" s="463">
        <f>IF(DI$4&lt;&gt;1,"",COUNTIF(DI9:DI13,"✗"))</f>
        <v/>
      </c>
      <c r="DJ15" s="463">
        <f>IF(DJ$4&lt;&gt;1,"",COUNTIF(DJ9:DJ13,"✗"))</f>
        <v/>
      </c>
      <c r="DK15" s="463">
        <f>IF(DK$4&lt;&gt;1,"",COUNTIF(DK9:DK13,"✗"))</f>
        <v/>
      </c>
      <c r="DL15" s="463">
        <f>IF(DL$4&lt;&gt;1,"",COUNTIF(DL9:DL13,"✗"))</f>
        <v/>
      </c>
      <c r="DM15" s="463">
        <f>IF(DM$4&lt;&gt;1,"",COUNTIF(DM9:DM13,"✗"))</f>
        <v/>
      </c>
      <c r="DN15" s="463">
        <f>IF(DN$4&lt;&gt;1,"",COUNTIF(DN9:DN13,"✗"))</f>
        <v/>
      </c>
      <c r="DO15" s="463">
        <f>IF(DO$4&lt;&gt;1,"",COUNTIF(DO9:DO13,"✗"))</f>
        <v/>
      </c>
      <c r="DP15" s="463">
        <f>IF(DP$4&lt;&gt;1,"",COUNTIF(DP9:DP13,"✗"))</f>
        <v/>
      </c>
      <c r="DQ15" s="463">
        <f>IF(DQ$4&lt;&gt;1,"",COUNTIF(DQ9:DQ13,"✗"))</f>
        <v/>
      </c>
      <c r="DR15" s="463">
        <f>IF(DR$4&lt;&gt;1,"",COUNTIF(DR9:DR13,"✗"))</f>
        <v/>
      </c>
      <c r="DS15" s="463">
        <f>IF(DS$4&lt;&gt;1,"",COUNTIF(DS9:DS13,"✗"))</f>
        <v/>
      </c>
      <c r="DT15" s="463">
        <f>IF(DT$4&lt;&gt;1,"",COUNTIF(DT9:DT13,"✗"))</f>
        <v/>
      </c>
      <c r="DU15" s="463">
        <f>IF(DU$4&lt;&gt;1,"",COUNTIF(DU9:DU13,"✗"))</f>
        <v/>
      </c>
      <c r="DV15" s="463">
        <f>IF(DV$4&lt;&gt;1,"",COUNTIF(DV9:DV13,"✗"))</f>
        <v/>
      </c>
      <c r="DW15" s="463">
        <f>IF(DW$4&lt;&gt;1,"",COUNTIF(DW9:DW13,"✗"))</f>
        <v/>
      </c>
      <c r="DX15" s="463">
        <f>IF(DX$4&lt;&gt;1,"",COUNTIF(DX9:DX13,"✗"))</f>
        <v/>
      </c>
      <c r="DY15" s="463">
        <f>IF(DY$4&lt;&gt;1,"",COUNTIF(DY9:DY13,"✗"))</f>
        <v/>
      </c>
      <c r="DZ15" s="463">
        <f>IF(DZ$4&lt;&gt;1,"",COUNTIF(DZ9:DZ13,"✗"))</f>
        <v/>
      </c>
      <c r="EA15" s="463">
        <f>IF(EA$4&lt;&gt;1,"",COUNTIF(EA9:EA13,"✗"))</f>
        <v/>
      </c>
      <c r="EB15" s="463">
        <f>IF(EB$4&lt;&gt;1,"",COUNTIF(EB9:EB13,"✗"))</f>
        <v/>
      </c>
      <c r="EC15" s="463">
        <f>IF(EC$4&lt;&gt;1,"",COUNTIF(EC9:EC13,"✗"))</f>
        <v/>
      </c>
      <c r="ED15" s="463">
        <f>IF(ED$4&lt;&gt;1,"",COUNTIF(ED9:ED13,"✗"))</f>
        <v/>
      </c>
      <c r="EE15" s="463">
        <f>IF(EE$4&lt;&gt;1,"",COUNTIF(EE9:EE13,"✗"))</f>
        <v/>
      </c>
      <c r="EF15" s="463">
        <f>IF(EF$4&lt;&gt;1,"",COUNTIF(EF9:EF13,"✗"))</f>
        <v/>
      </c>
      <c r="EG15" s="464" t="n"/>
      <c r="EH15" s="465" t="n"/>
      <c r="EI15" s="466" t="n"/>
      <c r="EJ15" s="462">
        <f>IF(EJ$4&lt;&gt;1,"",COUNTIF(EJ9:EJ13,"✗"))</f>
        <v/>
      </c>
      <c r="EK15" s="463">
        <f>IF(EK$4&lt;&gt;1,"",COUNTIF(EK9:EK13,"✗"))</f>
        <v/>
      </c>
      <c r="EL15" s="463">
        <f>IF(EL$4&lt;&gt;1,"",COUNTIF(EL9:EL13,"✗"))</f>
        <v/>
      </c>
      <c r="EM15" s="463">
        <f>IF(EM$4&lt;&gt;1,"",COUNTIF(EM9:EM13,"✗"))</f>
        <v/>
      </c>
      <c r="EN15" s="463">
        <f>IF(EN$4&lt;&gt;1,"",COUNTIF(EN9:EN13,"✗"))</f>
        <v/>
      </c>
      <c r="EO15" s="463">
        <f>IF(EO$4&lt;&gt;1,"",COUNTIF(EO9:EO13,"✗"))</f>
        <v/>
      </c>
      <c r="EP15" s="463">
        <f>IF(EP$4&lt;&gt;1,"",COUNTIF(EP9:EP13,"✗"))</f>
        <v/>
      </c>
      <c r="EQ15" s="463">
        <f>IF(EQ$4&lt;&gt;1,"",COUNTIF(EQ9:EQ13,"✗"))</f>
        <v/>
      </c>
      <c r="ER15" s="463">
        <f>IF(ER$4&lt;&gt;1,"",COUNTIF(ER9:ER13,"✗"))</f>
        <v/>
      </c>
      <c r="ES15" s="463">
        <f>IF(ES$4&lt;&gt;1,"",COUNTIF(ES9:ES13,"✗"))</f>
        <v/>
      </c>
      <c r="ET15" s="463">
        <f>IF(ET$4&lt;&gt;1,"",COUNTIF(ET9:ET13,"✗"))</f>
        <v/>
      </c>
      <c r="EU15" s="463">
        <f>IF(EU$4&lt;&gt;1,"",COUNTIF(EU9:EU13,"✗"))</f>
        <v/>
      </c>
      <c r="EV15" s="463">
        <f>IF(EV$4&lt;&gt;1,"",COUNTIF(EV9:EV13,"✗"))</f>
        <v/>
      </c>
      <c r="EW15" s="463">
        <f>IF(EW$4&lt;&gt;1,"",COUNTIF(EW9:EW13,"✗"))</f>
        <v/>
      </c>
      <c r="EX15" s="463">
        <f>IF(EX$4&lt;&gt;1,"",COUNTIF(EX9:EX13,"✗"))</f>
        <v/>
      </c>
      <c r="EY15" s="463">
        <f>IF(EY$4&lt;&gt;1,"",COUNTIF(EY9:EY13,"✗"))</f>
        <v/>
      </c>
      <c r="EZ15" s="463">
        <f>IF(EZ$4&lt;&gt;1,"",COUNTIF(EZ9:EZ13,"✗"))</f>
        <v/>
      </c>
      <c r="FA15" s="463">
        <f>IF(FA$4&lt;&gt;1,"",COUNTIF(FA9:FA13,"✗"))</f>
        <v/>
      </c>
      <c r="FB15" s="463">
        <f>IF(FB$4&lt;&gt;1,"",COUNTIF(FB9:FB13,"✗"))</f>
        <v/>
      </c>
      <c r="FC15" s="463">
        <f>IF(FC$4&lt;&gt;1,"",COUNTIF(FC9:FC13,"✗"))</f>
        <v/>
      </c>
      <c r="FD15" s="463">
        <f>IF(FD$4&lt;&gt;1,"",COUNTIF(FD9:FD13,"✗"))</f>
        <v/>
      </c>
      <c r="FE15" s="463">
        <f>IF(FE$4&lt;&gt;1,"",COUNTIF(FE9:FE13,"✗"))</f>
        <v/>
      </c>
      <c r="FF15" s="463">
        <f>IF(FF$4&lt;&gt;1,"",COUNTIF(FF9:FF13,"✗"))</f>
        <v/>
      </c>
      <c r="FG15" s="463">
        <f>IF(FG$4&lt;&gt;1,"",COUNTIF(FG9:FG13,"✗"))</f>
        <v/>
      </c>
      <c r="FH15" s="463">
        <f>IF(FH$4&lt;&gt;1,"",COUNTIF(FH9:FH13,"✗"))</f>
        <v/>
      </c>
      <c r="FI15" s="463">
        <f>IF(FI$4&lt;&gt;1,"",COUNTIF(FI9:FI13,"✗"))</f>
        <v/>
      </c>
      <c r="FJ15" s="463">
        <f>IF(FJ$4&lt;&gt;1,"",COUNTIF(FJ9:FJ13,"✗"))</f>
        <v/>
      </c>
      <c r="FK15" s="463">
        <f>IF(FK$4&lt;&gt;1,"",COUNTIF(FK9:FK13,"✗"))</f>
        <v/>
      </c>
      <c r="FL15" s="463">
        <f>IF(FL$4&lt;&gt;1,"",COUNTIF(FL9:FL13,"✗"))</f>
        <v/>
      </c>
      <c r="FM15" s="463">
        <f>IF(FM$4&lt;&gt;1,"",COUNTIF(FM9:FM13,"✗"))</f>
        <v/>
      </c>
      <c r="FN15" s="463">
        <f>IF(FN$4&lt;&gt;1,"",COUNTIF(FN9:FN13,"✗"))</f>
        <v/>
      </c>
      <c r="FO15" s="464" t="n"/>
      <c r="FP15" s="465" t="n"/>
      <c r="FQ15" s="466" t="n"/>
      <c r="FR15" s="462">
        <f>IF(FR$4&lt;&gt;1,"",COUNTIF(FR9:FR13,"✗"))</f>
        <v/>
      </c>
      <c r="FS15" s="463">
        <f>IF(FS$4&lt;&gt;1,"",COUNTIF(FS9:FS13,"✗"))</f>
        <v/>
      </c>
      <c r="FT15" s="463">
        <f>IF(FT$4&lt;&gt;1,"",COUNTIF(FT9:FT13,"✗"))</f>
        <v/>
      </c>
      <c r="FU15" s="463">
        <f>IF(FU$4&lt;&gt;1,"",COUNTIF(FU9:FU13,"✗"))</f>
        <v/>
      </c>
      <c r="FV15" s="463">
        <f>IF(FV$4&lt;&gt;1,"",COUNTIF(FV9:FV13,"✗"))</f>
        <v/>
      </c>
      <c r="FW15" s="463">
        <f>IF(FW$4&lt;&gt;1,"",COUNTIF(FW9:FW13,"✗"))</f>
        <v/>
      </c>
      <c r="FX15" s="463">
        <f>IF(FX$4&lt;&gt;1,"",COUNTIF(FX9:FX13,"✗"))</f>
        <v/>
      </c>
      <c r="FY15" s="463">
        <f>IF(FY$4&lt;&gt;1,"",COUNTIF(FY9:FY13,"✗"))</f>
        <v/>
      </c>
      <c r="FZ15" s="463">
        <f>IF(FZ$4&lt;&gt;1,"",COUNTIF(FZ9:FZ13,"✗"))</f>
        <v/>
      </c>
      <c r="GA15" s="463">
        <f>IF(GA$4&lt;&gt;1,"",COUNTIF(GA9:GA13,"✗"))</f>
        <v/>
      </c>
      <c r="GB15" s="463">
        <f>IF(GB$4&lt;&gt;1,"",COUNTIF(GB9:GB13,"✗"))</f>
        <v/>
      </c>
      <c r="GC15" s="463">
        <f>IF(GC$4&lt;&gt;1,"",COUNTIF(GC9:GC13,"✗"))</f>
        <v/>
      </c>
      <c r="GD15" s="463">
        <f>IF(GD$4&lt;&gt;1,"",COUNTIF(GD9:GD13,"✗"))</f>
        <v/>
      </c>
      <c r="GE15" s="463">
        <f>IF(GE$4&lt;&gt;1,"",COUNTIF(GE9:GE13,"✗"))</f>
        <v/>
      </c>
      <c r="GF15" s="463">
        <f>IF(GF$4&lt;&gt;1,"",COUNTIF(GF9:GF13,"✗"))</f>
        <v/>
      </c>
      <c r="GG15" s="463">
        <f>IF(GG$4&lt;&gt;1,"",COUNTIF(GG9:GG13,"✗"))</f>
        <v/>
      </c>
      <c r="GH15" s="463">
        <f>IF(GH$4&lt;&gt;1,"",COUNTIF(GH9:GH13,"✗"))</f>
        <v/>
      </c>
      <c r="GI15" s="463">
        <f>IF(GI$4&lt;&gt;1,"",COUNTIF(GI9:GI13,"✗"))</f>
        <v/>
      </c>
      <c r="GJ15" s="463">
        <f>IF(GJ$4&lt;&gt;1,"",COUNTIF(GJ9:GJ13,"✗"))</f>
        <v/>
      </c>
      <c r="GK15" s="463">
        <f>IF(GK$4&lt;&gt;1,"",COUNTIF(GK9:GK13,"✗"))</f>
        <v/>
      </c>
      <c r="GL15" s="463">
        <f>IF(GL$4&lt;&gt;1,"",COUNTIF(GL9:GL13,"✗"))</f>
        <v/>
      </c>
      <c r="GM15" s="463">
        <f>IF(GM$4&lt;&gt;1,"",COUNTIF(GM9:GM13,"✗"))</f>
        <v/>
      </c>
      <c r="GN15" s="463">
        <f>IF(GN$4&lt;&gt;1,"",COUNTIF(GN9:GN13,"✗"))</f>
        <v/>
      </c>
      <c r="GO15" s="463">
        <f>IF(GO$4&lt;&gt;1,"",COUNTIF(GO9:GO13,"✗"))</f>
        <v/>
      </c>
      <c r="GP15" s="463">
        <f>IF(GP$4&lt;&gt;1,"",COUNTIF(GP9:GP13,"✗"))</f>
        <v/>
      </c>
      <c r="GQ15" s="463">
        <f>IF(GQ$4&lt;&gt;1,"",COUNTIF(GQ9:GQ13,"✗"))</f>
        <v/>
      </c>
      <c r="GR15" s="463">
        <f>IF(GR$4&lt;&gt;1,"",COUNTIF(GR9:GR13,"✗"))</f>
        <v/>
      </c>
      <c r="GS15" s="463">
        <f>IF(GS$4&lt;&gt;1,"",COUNTIF(GS9:GS13,"✗"))</f>
        <v/>
      </c>
      <c r="GT15" s="463">
        <f>IF(GT$4&lt;&gt;1,"",COUNTIF(GT9:GT13,"✗"))</f>
        <v/>
      </c>
      <c r="GU15" s="463">
        <f>IF(GU$4&lt;&gt;1,"",COUNTIF(GU9:GU13,"✗"))</f>
        <v/>
      </c>
      <c r="GV15" s="463">
        <f>IF(GV$4&lt;&gt;1,"",COUNTIF(GV9:GV13,"✗"))</f>
        <v/>
      </c>
      <c r="GW15" s="464" t="n"/>
      <c r="GX15" s="465" t="n"/>
      <c r="GY15" s="466" t="n"/>
    </row>
    <row r="16">
      <c r="A16" s="461" t="inlineStr"/>
      <c r="B16" s="184" t="n"/>
      <c r="C16" s="184" t="n"/>
      <c r="D16" s="467" t="n"/>
      <c r="E16" s="206" t="n"/>
      <c r="F16" s="206" t="n"/>
      <c r="G16" s="206" t="n"/>
      <c r="H16" s="206" t="n"/>
      <c r="I16" s="206" t="n"/>
      <c r="J16" s="206" t="n"/>
      <c r="K16" s="206" t="n"/>
      <c r="L16" s="206" t="n"/>
      <c r="M16" s="206" t="n"/>
      <c r="N16" s="206" t="n"/>
      <c r="O16" s="206" t="n"/>
      <c r="P16" s="206" t="n"/>
      <c r="Q16" s="206" t="n"/>
      <c r="R16" s="206" t="n"/>
      <c r="S16" s="206" t="n"/>
      <c r="T16" s="206" t="n"/>
      <c r="U16" s="206" t="n"/>
      <c r="V16" s="206" t="n"/>
      <c r="W16" s="206" t="n"/>
      <c r="X16" s="206" t="n"/>
      <c r="Y16" s="206" t="n"/>
      <c r="Z16" s="206" t="n"/>
      <c r="AA16" s="206" t="n"/>
      <c r="AB16" s="206" t="n"/>
      <c r="AC16" s="206" t="n"/>
      <c r="AD16" s="206" t="n"/>
      <c r="AE16" s="206" t="n"/>
      <c r="AF16" s="206" t="n"/>
      <c r="AG16" s="206" t="n"/>
      <c r="AH16" s="206" t="n"/>
      <c r="AI16" s="464" t="n"/>
      <c r="AJ16" s="465" t="n"/>
      <c r="AK16" s="466" t="n"/>
      <c r="AL16" s="467" t="n"/>
      <c r="AM16" s="206" t="n"/>
      <c r="AN16" s="206" t="n"/>
      <c r="AO16" s="206" t="n"/>
      <c r="AP16" s="206" t="n"/>
      <c r="AQ16" s="206" t="n"/>
      <c r="AR16" s="206" t="n"/>
      <c r="AS16" s="206" t="n"/>
      <c r="AT16" s="206" t="n"/>
      <c r="AU16" s="206" t="n"/>
      <c r="AV16" s="206" t="n"/>
      <c r="AW16" s="206" t="n"/>
      <c r="AX16" s="206" t="n"/>
      <c r="AY16" s="206" t="n"/>
      <c r="AZ16" s="206" t="n"/>
      <c r="BA16" s="206" t="n"/>
      <c r="BB16" s="206" t="n"/>
      <c r="BC16" s="206" t="n"/>
      <c r="BD16" s="206" t="n"/>
      <c r="BE16" s="206" t="n"/>
      <c r="BF16" s="206" t="n"/>
      <c r="BG16" s="206" t="n"/>
      <c r="BH16" s="206" t="n"/>
      <c r="BI16" s="206" t="n"/>
      <c r="BJ16" s="206" t="n"/>
      <c r="BK16" s="206" t="n"/>
      <c r="BL16" s="206" t="n"/>
      <c r="BM16" s="206" t="n"/>
      <c r="BN16" s="206" t="n"/>
      <c r="BO16" s="206" t="n"/>
      <c r="BP16" s="206" t="n"/>
      <c r="BQ16" s="464" t="n"/>
      <c r="BR16" s="465" t="n"/>
      <c r="BS16" s="466" t="n"/>
      <c r="BT16" s="467" t="n"/>
      <c r="BU16" s="206" t="n"/>
      <c r="BV16" s="206" t="n"/>
      <c r="BW16" s="206" t="n"/>
      <c r="BX16" s="206" t="n"/>
      <c r="BY16" s="206" t="n"/>
      <c r="BZ16" s="206" t="n"/>
      <c r="CA16" s="206" t="n"/>
      <c r="CB16" s="206" t="n"/>
      <c r="CC16" s="206" t="n"/>
      <c r="CD16" s="206" t="n"/>
      <c r="CE16" s="206" t="n"/>
      <c r="CF16" s="206" t="n"/>
      <c r="CG16" s="206" t="n"/>
      <c r="CH16" s="206" t="n"/>
      <c r="CI16" s="206" t="n"/>
      <c r="CJ16" s="206" t="n"/>
      <c r="CK16" s="206" t="n"/>
      <c r="CL16" s="206" t="n"/>
      <c r="CM16" s="206" t="n"/>
      <c r="CN16" s="206" t="n"/>
      <c r="CO16" s="206" t="n"/>
      <c r="CP16" s="206" t="n"/>
      <c r="CQ16" s="206" t="n"/>
      <c r="CR16" s="206" t="n"/>
      <c r="CS16" s="206" t="n"/>
      <c r="CT16" s="206" t="n"/>
      <c r="CU16" s="206" t="n"/>
      <c r="CV16" s="206" t="n"/>
      <c r="CW16" s="206" t="n"/>
      <c r="CX16" s="206" t="n"/>
      <c r="CY16" s="464" t="n"/>
      <c r="CZ16" s="465" t="n"/>
      <c r="DA16" s="466" t="n"/>
      <c r="DB16" s="467" t="n"/>
      <c r="DC16" s="206" t="n"/>
      <c r="DD16" s="206" t="n"/>
      <c r="DE16" s="206" t="n"/>
      <c r="DF16" s="206" t="n"/>
      <c r="DG16" s="206" t="n"/>
      <c r="DH16" s="206" t="n"/>
      <c r="DI16" s="206" t="n"/>
      <c r="DJ16" s="206" t="n"/>
      <c r="DK16" s="206" t="n"/>
      <c r="DL16" s="206" t="n"/>
      <c r="DM16" s="206" t="n"/>
      <c r="DN16" s="206" t="n"/>
      <c r="DO16" s="206" t="n"/>
      <c r="DP16" s="206" t="n"/>
      <c r="DQ16" s="206" t="n"/>
      <c r="DR16" s="206" t="n"/>
      <c r="DS16" s="206" t="n"/>
      <c r="DT16" s="206" t="n"/>
      <c r="DU16" s="206" t="n"/>
      <c r="DV16" s="206" t="n"/>
      <c r="DW16" s="206" t="n"/>
      <c r="DX16" s="206" t="n"/>
      <c r="DY16" s="206" t="n"/>
      <c r="DZ16" s="206" t="n"/>
      <c r="EA16" s="206" t="n"/>
      <c r="EB16" s="206" t="n"/>
      <c r="EC16" s="206" t="n"/>
      <c r="ED16" s="206" t="n"/>
      <c r="EE16" s="206" t="n"/>
      <c r="EF16" s="206" t="n"/>
      <c r="EG16" s="464" t="n"/>
      <c r="EH16" s="465" t="n"/>
      <c r="EI16" s="466" t="n"/>
      <c r="EJ16" s="467" t="n"/>
      <c r="EK16" s="206" t="n"/>
      <c r="EL16" s="206" t="n"/>
      <c r="EM16" s="206" t="n"/>
      <c r="EN16" s="206" t="n"/>
      <c r="EO16" s="206" t="n"/>
      <c r="EP16" s="206" t="n"/>
      <c r="EQ16" s="206" t="n"/>
      <c r="ER16" s="206" t="n"/>
      <c r="ES16" s="206" t="n"/>
      <c r="ET16" s="206" t="n"/>
      <c r="EU16" s="206" t="n"/>
      <c r="EV16" s="206" t="n"/>
      <c r="EW16" s="206" t="n"/>
      <c r="EX16" s="206" t="n"/>
      <c r="EY16" s="206" t="n"/>
      <c r="EZ16" s="206" t="n"/>
      <c r="FA16" s="206" t="n"/>
      <c r="FB16" s="206" t="n"/>
      <c r="FC16" s="206" t="n"/>
      <c r="FD16" s="206" t="n"/>
      <c r="FE16" s="206" t="n"/>
      <c r="FF16" s="206" t="n"/>
      <c r="FG16" s="206" t="n"/>
      <c r="FH16" s="206" t="n"/>
      <c r="FI16" s="206" t="n"/>
      <c r="FJ16" s="206" t="n"/>
      <c r="FK16" s="206" t="n"/>
      <c r="FL16" s="206" t="n"/>
      <c r="FM16" s="206" t="n"/>
      <c r="FN16" s="206" t="n"/>
      <c r="FO16" s="464" t="n"/>
      <c r="FP16" s="465" t="n"/>
      <c r="FQ16" s="466" t="n"/>
      <c r="FR16" s="467" t="n"/>
      <c r="FS16" s="206" t="n"/>
      <c r="FT16" s="206" t="n"/>
      <c r="FU16" s="206" t="n"/>
      <c r="FV16" s="206" t="n"/>
      <c r="FW16" s="206" t="n"/>
      <c r="FX16" s="206" t="n"/>
      <c r="FY16" s="206" t="n"/>
      <c r="FZ16" s="206" t="n"/>
      <c r="GA16" s="206" t="n"/>
      <c r="GB16" s="206" t="n"/>
      <c r="GC16" s="206" t="n"/>
      <c r="GD16" s="206" t="n"/>
      <c r="GE16" s="206" t="n"/>
      <c r="GF16" s="206" t="n"/>
      <c r="GG16" s="206" t="n"/>
      <c r="GH16" s="206" t="n"/>
      <c r="GI16" s="206" t="n"/>
      <c r="GJ16" s="206" t="n"/>
      <c r="GK16" s="206" t="n"/>
      <c r="GL16" s="206" t="n"/>
      <c r="GM16" s="206" t="n"/>
      <c r="GN16" s="206" t="n"/>
      <c r="GO16" s="206" t="n"/>
      <c r="GP16" s="206" t="n"/>
      <c r="GQ16" s="206" t="n"/>
      <c r="GR16" s="206" t="n"/>
      <c r="GS16" s="206" t="n"/>
      <c r="GT16" s="206" t="n"/>
      <c r="GU16" s="206" t="n"/>
      <c r="GV16" s="206" t="n"/>
      <c r="GW16" s="464" t="n"/>
      <c r="GX16" s="465" t="n"/>
      <c r="GY16" s="466" t="n"/>
    </row>
    <row r="17">
      <c r="A17" s="461" t="inlineStr"/>
      <c r="B17" s="184" t="n"/>
      <c r="C17" s="184" t="n"/>
      <c r="D17" s="467" t="n"/>
      <c r="E17" s="206" t="n"/>
      <c r="F17" s="206" t="n"/>
      <c r="G17" s="206" t="n"/>
      <c r="H17" s="206" t="n"/>
      <c r="I17" s="206" t="n"/>
      <c r="J17" s="206" t="n"/>
      <c r="K17" s="206" t="n"/>
      <c r="L17" s="206" t="n"/>
      <c r="M17" s="206" t="n"/>
      <c r="N17" s="206" t="n"/>
      <c r="O17" s="206" t="n"/>
      <c r="P17" s="206" t="n"/>
      <c r="Q17" s="206" t="n"/>
      <c r="R17" s="206" t="n"/>
      <c r="S17" s="206" t="n"/>
      <c r="T17" s="206" t="n"/>
      <c r="U17" s="206" t="n"/>
      <c r="V17" s="206" t="n"/>
      <c r="W17" s="206" t="n"/>
      <c r="X17" s="206" t="n"/>
      <c r="Y17" s="206" t="n"/>
      <c r="Z17" s="206" t="n"/>
      <c r="AA17" s="206" t="n"/>
      <c r="AB17" s="206" t="n"/>
      <c r="AC17" s="206" t="n"/>
      <c r="AD17" s="206" t="n"/>
      <c r="AE17" s="206" t="n"/>
      <c r="AF17" s="206" t="n"/>
      <c r="AG17" s="206" t="n"/>
      <c r="AH17" s="206" t="n"/>
      <c r="AI17" s="464" t="n"/>
      <c r="AJ17" s="465" t="n"/>
      <c r="AK17" s="466" t="n"/>
      <c r="AL17" s="467" t="n"/>
      <c r="AM17" s="206" t="n"/>
      <c r="AN17" s="206" t="n"/>
      <c r="AO17" s="206" t="n"/>
      <c r="AP17" s="206" t="n"/>
      <c r="AQ17" s="206" t="n"/>
      <c r="AR17" s="206" t="n"/>
      <c r="AS17" s="206" t="n"/>
      <c r="AT17" s="206" t="n"/>
      <c r="AU17" s="206" t="n"/>
      <c r="AV17" s="206" t="n"/>
      <c r="AW17" s="206" t="n"/>
      <c r="AX17" s="206" t="n"/>
      <c r="AY17" s="206" t="n"/>
      <c r="AZ17" s="206" t="n"/>
      <c r="BA17" s="206" t="n"/>
      <c r="BB17" s="206" t="n"/>
      <c r="BC17" s="206" t="n"/>
      <c r="BD17" s="206" t="n"/>
      <c r="BE17" s="206" t="n"/>
      <c r="BF17" s="206" t="n"/>
      <c r="BG17" s="206" t="n"/>
      <c r="BH17" s="206" t="n"/>
      <c r="BI17" s="206" t="n"/>
      <c r="BJ17" s="206" t="n"/>
      <c r="BK17" s="206" t="n"/>
      <c r="BL17" s="206" t="n"/>
      <c r="BM17" s="206" t="n"/>
      <c r="BN17" s="206" t="n"/>
      <c r="BO17" s="206" t="n"/>
      <c r="BP17" s="206" t="n"/>
      <c r="BQ17" s="464" t="n"/>
      <c r="BR17" s="465" t="n"/>
      <c r="BS17" s="466" t="n"/>
      <c r="BT17" s="467" t="n"/>
      <c r="BU17" s="206" t="n"/>
      <c r="BV17" s="206" t="n"/>
      <c r="BW17" s="206" t="n"/>
      <c r="BX17" s="206" t="n"/>
      <c r="BY17" s="206" t="n"/>
      <c r="BZ17" s="206" t="n"/>
      <c r="CA17" s="206" t="n"/>
      <c r="CB17" s="206" t="n"/>
      <c r="CC17" s="206" t="n"/>
      <c r="CD17" s="206" t="n"/>
      <c r="CE17" s="206" t="n"/>
      <c r="CF17" s="206" t="n"/>
      <c r="CG17" s="206" t="n"/>
      <c r="CH17" s="206" t="n"/>
      <c r="CI17" s="206" t="n"/>
      <c r="CJ17" s="206" t="n"/>
      <c r="CK17" s="206" t="n"/>
      <c r="CL17" s="206" t="n"/>
      <c r="CM17" s="206" t="n"/>
      <c r="CN17" s="206" t="n"/>
      <c r="CO17" s="206" t="n"/>
      <c r="CP17" s="206" t="n"/>
      <c r="CQ17" s="206" t="n"/>
      <c r="CR17" s="206" t="n"/>
      <c r="CS17" s="206" t="n"/>
      <c r="CT17" s="206" t="n"/>
      <c r="CU17" s="206" t="n"/>
      <c r="CV17" s="206" t="n"/>
      <c r="CW17" s="206" t="n"/>
      <c r="CX17" s="206" t="n"/>
      <c r="CY17" s="464" t="n"/>
      <c r="CZ17" s="465" t="n"/>
      <c r="DA17" s="466" t="n"/>
      <c r="DB17" s="467" t="n"/>
      <c r="DC17" s="206" t="n"/>
      <c r="DD17" s="206" t="n"/>
      <c r="DE17" s="206" t="n"/>
      <c r="DF17" s="206" t="n"/>
      <c r="DG17" s="206" t="n"/>
      <c r="DH17" s="206" t="n"/>
      <c r="DI17" s="206" t="n"/>
      <c r="DJ17" s="206" t="n"/>
      <c r="DK17" s="206" t="n"/>
      <c r="DL17" s="206" t="n"/>
      <c r="DM17" s="206" t="n"/>
      <c r="DN17" s="206" t="n"/>
      <c r="DO17" s="206" t="n"/>
      <c r="DP17" s="206" t="n"/>
      <c r="DQ17" s="206" t="n"/>
      <c r="DR17" s="206" t="n"/>
      <c r="DS17" s="206" t="n"/>
      <c r="DT17" s="206" t="n"/>
      <c r="DU17" s="206" t="n"/>
      <c r="DV17" s="206" t="n"/>
      <c r="DW17" s="206" t="n"/>
      <c r="DX17" s="206" t="n"/>
      <c r="DY17" s="206" t="n"/>
      <c r="DZ17" s="206" t="n"/>
      <c r="EA17" s="206" t="n"/>
      <c r="EB17" s="206" t="n"/>
      <c r="EC17" s="206" t="n"/>
      <c r="ED17" s="206" t="n"/>
      <c r="EE17" s="206" t="n"/>
      <c r="EF17" s="206" t="n"/>
      <c r="EG17" s="464" t="n"/>
      <c r="EH17" s="465" t="n"/>
      <c r="EI17" s="466" t="n"/>
      <c r="EJ17" s="467" t="n"/>
      <c r="EK17" s="206" t="n"/>
      <c r="EL17" s="206" t="n"/>
      <c r="EM17" s="206" t="n"/>
      <c r="EN17" s="206" t="n"/>
      <c r="EO17" s="206" t="n"/>
      <c r="EP17" s="206" t="n"/>
      <c r="EQ17" s="206" t="n"/>
      <c r="ER17" s="206" t="n"/>
      <c r="ES17" s="206" t="n"/>
      <c r="ET17" s="206" t="n"/>
      <c r="EU17" s="206" t="n"/>
      <c r="EV17" s="206" t="n"/>
      <c r="EW17" s="206" t="n"/>
      <c r="EX17" s="206" t="n"/>
      <c r="EY17" s="206" t="n"/>
      <c r="EZ17" s="206" t="n"/>
      <c r="FA17" s="206" t="n"/>
      <c r="FB17" s="206" t="n"/>
      <c r="FC17" s="206" t="n"/>
      <c r="FD17" s="206" t="n"/>
      <c r="FE17" s="206" t="n"/>
      <c r="FF17" s="206" t="n"/>
      <c r="FG17" s="206" t="n"/>
      <c r="FH17" s="206" t="n"/>
      <c r="FI17" s="206" t="n"/>
      <c r="FJ17" s="206" t="n"/>
      <c r="FK17" s="206" t="n"/>
      <c r="FL17" s="206" t="n"/>
      <c r="FM17" s="206" t="n"/>
      <c r="FN17" s="206" t="n"/>
      <c r="FO17" s="464" t="n"/>
      <c r="FP17" s="465" t="n"/>
      <c r="FQ17" s="466" t="n"/>
      <c r="FR17" s="467" t="n"/>
      <c r="FS17" s="206" t="n"/>
      <c r="FT17" s="206" t="n"/>
      <c r="FU17" s="206" t="n"/>
      <c r="FV17" s="206" t="n"/>
      <c r="FW17" s="206" t="n"/>
      <c r="FX17" s="206" t="n"/>
      <c r="FY17" s="206" t="n"/>
      <c r="FZ17" s="206" t="n"/>
      <c r="GA17" s="206" t="n"/>
      <c r="GB17" s="206" t="n"/>
      <c r="GC17" s="206" t="n"/>
      <c r="GD17" s="206" t="n"/>
      <c r="GE17" s="206" t="n"/>
      <c r="GF17" s="206" t="n"/>
      <c r="GG17" s="206" t="n"/>
      <c r="GH17" s="206" t="n"/>
      <c r="GI17" s="206" t="n"/>
      <c r="GJ17" s="206" t="n"/>
      <c r="GK17" s="206" t="n"/>
      <c r="GL17" s="206" t="n"/>
      <c r="GM17" s="206" t="n"/>
      <c r="GN17" s="206" t="n"/>
      <c r="GO17" s="206" t="n"/>
      <c r="GP17" s="206" t="n"/>
      <c r="GQ17" s="206" t="n"/>
      <c r="GR17" s="206" t="n"/>
      <c r="GS17" s="206" t="n"/>
      <c r="GT17" s="206" t="n"/>
      <c r="GU17" s="206" t="n"/>
      <c r="GV17" s="206" t="n"/>
      <c r="GW17" s="464" t="n"/>
      <c r="GX17" s="465" t="n"/>
      <c r="GY17" s="46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FR9:GV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tabColor rgb="0082C4F9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195" t="inlineStr">
        <is>
          <t>🏠</t>
        </is>
      </c>
      <c r="B1" s="196" t="n"/>
      <c r="C1" s="196" t="n"/>
      <c r="D1" s="196" t="n"/>
      <c r="E1" s="196" t="n"/>
      <c r="F1" s="196" t="n"/>
      <c r="G1" s="196" t="n"/>
      <c r="H1" s="196" t="n"/>
      <c r="I1" s="196" t="n"/>
      <c r="J1" s="196" t="n"/>
      <c r="K1" s="196" t="n"/>
      <c r="L1" s="196" t="n"/>
      <c r="M1" s="196" t="n"/>
      <c r="N1" s="196" t="n"/>
      <c r="O1" s="196" t="n"/>
      <c r="P1" s="196" t="n"/>
      <c r="Q1" s="196" t="n"/>
      <c r="R1" s="196" t="n"/>
      <c r="S1" s="196" t="n"/>
      <c r="T1" s="196" t="n"/>
      <c r="U1" s="196" t="n"/>
      <c r="V1" s="196" t="n"/>
      <c r="W1" s="196" t="n"/>
      <c r="X1" s="196" t="n"/>
      <c r="Y1" s="196" t="n"/>
      <c r="Z1" s="196" t="n"/>
      <c r="AA1" s="196" t="n"/>
      <c r="AB1" s="196" t="n"/>
      <c r="AC1" s="196" t="n"/>
      <c r="AD1" s="196" t="n"/>
      <c r="AE1" s="196" t="n"/>
      <c r="AF1" s="196" t="n"/>
      <c r="AG1" s="196" t="n"/>
      <c r="AH1" s="196" t="n"/>
      <c r="AI1" s="196" t="n"/>
      <c r="AJ1" s="196" t="n"/>
      <c r="AK1" s="196" t="n"/>
      <c r="AL1" s="196" t="n"/>
      <c r="AM1" s="196" t="n"/>
      <c r="AN1" s="196" t="n"/>
      <c r="AO1" s="196" t="n"/>
      <c r="AP1" s="196" t="n"/>
      <c r="AQ1" s="196" t="n"/>
      <c r="AR1" s="196" t="n"/>
      <c r="AS1" s="196" t="n"/>
      <c r="AT1" s="196" t="n"/>
      <c r="AU1" s="196" t="n"/>
      <c r="AV1" s="196" t="n"/>
      <c r="AW1" s="196" t="n"/>
      <c r="AX1" s="196" t="n"/>
      <c r="AY1" s="196" t="n"/>
      <c r="AZ1" s="196" t="n"/>
      <c r="BA1" s="196" t="n"/>
      <c r="BB1" s="196" t="n"/>
      <c r="BC1" s="196" t="n"/>
      <c r="BD1" s="196" t="n"/>
      <c r="BE1" s="196" t="n"/>
      <c r="BF1" s="196" t="n"/>
      <c r="BG1" s="196" t="n"/>
      <c r="BH1" s="196" t="n"/>
      <c r="BI1" s="196" t="n"/>
      <c r="BJ1" s="196" t="n"/>
      <c r="BK1" s="196" t="n"/>
      <c r="BL1" s="196" t="n"/>
      <c r="BM1" s="196" t="n"/>
      <c r="BN1" s="196" t="n"/>
      <c r="BO1" s="196" t="n"/>
      <c r="BP1" s="196" t="n"/>
      <c r="BQ1" s="196" t="n"/>
      <c r="BR1" s="196" t="n"/>
      <c r="BS1" s="196" t="n"/>
      <c r="BT1" s="196" t="n"/>
      <c r="BU1" s="196" t="n"/>
      <c r="BV1" s="196" t="n"/>
      <c r="BW1" s="196" t="n"/>
      <c r="BX1" s="196" t="n"/>
      <c r="BY1" s="196" t="n"/>
      <c r="BZ1" s="196" t="n"/>
      <c r="CA1" s="196" t="n"/>
      <c r="CB1" s="196" t="n"/>
      <c r="CC1" s="196" t="n"/>
      <c r="CD1" s="196" t="n"/>
      <c r="CE1" s="196" t="n"/>
      <c r="CF1" s="196" t="n"/>
      <c r="CG1" s="196" t="n"/>
      <c r="CH1" s="196" t="n"/>
      <c r="CI1" s="196" t="n"/>
      <c r="CJ1" s="196" t="n"/>
      <c r="CK1" s="196" t="n"/>
      <c r="CL1" s="196" t="n"/>
      <c r="CM1" s="196" t="n"/>
      <c r="CN1" s="196" t="n"/>
      <c r="CO1" s="196" t="n"/>
      <c r="CP1" s="196" t="n"/>
      <c r="CQ1" s="196" t="n"/>
      <c r="CR1" s="196" t="n"/>
      <c r="CS1" s="196" t="n"/>
      <c r="CT1" s="196" t="n"/>
      <c r="CU1" s="196" t="n"/>
      <c r="CV1" s="196" t="n"/>
      <c r="CW1" s="196" t="n"/>
      <c r="CX1" s="196" t="n"/>
      <c r="CY1" s="196" t="n"/>
      <c r="CZ1" s="196" t="n"/>
      <c r="DA1" s="196" t="n"/>
      <c r="DB1" s="196" t="n"/>
      <c r="DC1" s="196" t="n"/>
      <c r="DD1" s="196" t="n"/>
      <c r="DE1" s="196" t="n"/>
      <c r="DF1" s="196" t="n"/>
      <c r="DG1" s="196" t="n"/>
      <c r="DH1" s="196" t="n"/>
      <c r="DI1" s="196" t="n"/>
      <c r="DJ1" s="196" t="n"/>
      <c r="DK1" s="196" t="n"/>
      <c r="DL1" s="196" t="n"/>
      <c r="DM1" s="196" t="n"/>
      <c r="DN1" s="196" t="n"/>
      <c r="DO1" s="196" t="n"/>
      <c r="DP1" s="196" t="n"/>
      <c r="DQ1" s="196" t="n"/>
      <c r="DR1" s="196" t="n"/>
      <c r="DS1" s="196" t="n"/>
      <c r="DT1" s="196" t="n"/>
      <c r="DU1" s="196" t="n"/>
      <c r="DV1" s="196" t="n"/>
      <c r="DW1" s="196" t="n"/>
      <c r="DX1" s="196" t="n"/>
      <c r="DY1" s="196" t="n"/>
      <c r="DZ1" s="196" t="n"/>
      <c r="EA1" s="196" t="n"/>
      <c r="EB1" s="196" t="n"/>
      <c r="EC1" s="196" t="n"/>
      <c r="ED1" s="196" t="n"/>
      <c r="EE1" s="196" t="n"/>
      <c r="EF1" s="196" t="n"/>
      <c r="EG1" s="196" t="n"/>
      <c r="EH1" s="196" t="n"/>
      <c r="EI1" s="196" t="n"/>
      <c r="EJ1" s="196" t="n"/>
      <c r="EK1" s="196" t="n"/>
      <c r="EL1" s="196" t="n"/>
      <c r="EM1" s="196" t="n"/>
      <c r="EN1" s="196" t="n"/>
      <c r="EO1" s="196" t="n"/>
      <c r="EP1" s="196" t="n"/>
      <c r="EQ1" s="196" t="n"/>
      <c r="ER1" s="196" t="n"/>
      <c r="ES1" s="196" t="n"/>
      <c r="ET1" s="196" t="n"/>
      <c r="EU1" s="196" t="n"/>
      <c r="EV1" s="196" t="n"/>
      <c r="EW1" s="196" t="n"/>
      <c r="EX1" s="196" t="n"/>
      <c r="EY1" s="196" t="n"/>
      <c r="EZ1" s="196" t="n"/>
      <c r="FA1" s="196" t="n"/>
      <c r="FB1" s="196" t="n"/>
      <c r="FC1" s="196" t="n"/>
      <c r="FD1" s="196" t="n"/>
      <c r="FE1" s="196" t="n"/>
      <c r="FF1" s="196" t="n"/>
      <c r="FG1" s="196" t="n"/>
      <c r="FH1" s="196" t="n"/>
      <c r="FI1" s="196" t="n"/>
      <c r="FJ1" s="196" t="n"/>
      <c r="FK1" s="196" t="n"/>
      <c r="FL1" s="196" t="n"/>
      <c r="FM1" s="196" t="n"/>
      <c r="FN1" s="196" t="n"/>
      <c r="FO1" s="196" t="n"/>
      <c r="FP1" s="196" t="n"/>
      <c r="FQ1" s="196" t="n"/>
    </row>
    <row r="2" ht="20" customHeight="1">
      <c r="A2" s="197" t="inlineStr">
        <is>
          <t>หน้าหลัก</t>
        </is>
      </c>
      <c r="B2" s="19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99" t="n"/>
      <c r="D2" s="199" t="n"/>
      <c r="E2" s="199" t="n"/>
      <c r="F2" s="199" t="n"/>
      <c r="G2" s="199" t="n"/>
      <c r="H2" s="199" t="n"/>
      <c r="I2" s="199" t="n"/>
      <c r="J2" s="199" t="n"/>
      <c r="K2" s="199" t="n"/>
      <c r="L2" s="199" t="n"/>
      <c r="M2" s="199" t="n"/>
      <c r="N2" s="199" t="n"/>
      <c r="O2" s="199" t="n"/>
      <c r="P2" s="199" t="n"/>
      <c r="Q2" s="199" t="n"/>
      <c r="R2" s="199" t="n"/>
      <c r="S2" s="199" t="n"/>
      <c r="T2" s="199" t="n"/>
      <c r="U2" s="199" t="n"/>
      <c r="V2" s="199" t="n"/>
      <c r="W2" s="199" t="n"/>
      <c r="X2" s="199" t="n"/>
      <c r="Y2" s="199" t="n"/>
      <c r="Z2" s="199" t="n"/>
      <c r="AA2" s="199" t="n"/>
      <c r="AB2" s="199" t="n"/>
      <c r="AC2" s="199" t="n"/>
      <c r="AD2" s="199" t="n"/>
      <c r="AE2" s="199" t="n"/>
      <c r="AF2" s="199" t="n"/>
      <c r="AG2" s="199" t="n"/>
      <c r="AH2" s="199" t="n"/>
      <c r="AI2" s="199" t="n"/>
      <c r="AJ2" s="199" t="n"/>
      <c r="AK2" s="199" t="n"/>
      <c r="AL2" s="199" t="n"/>
      <c r="AM2" s="199" t="n"/>
      <c r="AN2" s="199" t="n"/>
      <c r="AO2" s="199" t="n"/>
      <c r="AP2" s="199" t="n"/>
      <c r="AQ2" s="199" t="n"/>
      <c r="AR2" s="199" t="n"/>
      <c r="AS2" s="199" t="n"/>
      <c r="AT2" s="199" t="n"/>
      <c r="AU2" s="199" t="n"/>
      <c r="AV2" s="199" t="n"/>
      <c r="AW2" s="199" t="n"/>
      <c r="AX2" s="199" t="n"/>
      <c r="AY2" s="199" t="n"/>
      <c r="AZ2" s="199" t="n"/>
      <c r="BA2" s="199" t="n"/>
      <c r="BB2" s="199" t="n"/>
      <c r="BC2" s="199" t="n"/>
      <c r="BD2" s="199" t="n"/>
      <c r="BE2" s="199" t="n"/>
      <c r="BF2" s="199" t="n"/>
      <c r="BG2" s="199" t="n"/>
      <c r="BH2" s="199" t="n"/>
      <c r="BI2" s="199" t="n"/>
      <c r="BJ2" s="199" t="n"/>
      <c r="BK2" s="199" t="n"/>
      <c r="BL2" s="199" t="n"/>
      <c r="BM2" s="199" t="n"/>
      <c r="BN2" s="199" t="n"/>
      <c r="BO2" s="199" t="n"/>
      <c r="BP2" s="199" t="n"/>
      <c r="BQ2" s="199" t="n"/>
      <c r="BR2" s="199" t="n"/>
      <c r="BS2" s="199" t="n"/>
      <c r="BT2" s="199" t="n"/>
      <c r="BU2" s="199" t="n"/>
      <c r="BV2" s="199" t="n"/>
      <c r="BW2" s="199" t="n"/>
      <c r="BX2" s="199" t="n"/>
      <c r="BY2" s="199" t="n"/>
      <c r="BZ2" s="199" t="n"/>
      <c r="CA2" s="199" t="n"/>
      <c r="CB2" s="199" t="n"/>
      <c r="CC2" s="199" t="n"/>
      <c r="CD2" s="199" t="n"/>
      <c r="CE2" s="199" t="n"/>
      <c r="CF2" s="199" t="n"/>
      <c r="CG2" s="199" t="n"/>
      <c r="CH2" s="199" t="n"/>
      <c r="CI2" s="199" t="n"/>
      <c r="CJ2" s="199" t="n"/>
      <c r="CK2" s="199" t="n"/>
      <c r="CL2" s="199" t="n"/>
      <c r="CM2" s="199" t="n"/>
      <c r="CN2" s="199" t="n"/>
      <c r="CO2" s="199" t="n"/>
      <c r="CP2" s="199" t="n"/>
      <c r="CQ2" s="199" t="n"/>
      <c r="CR2" s="199" t="n"/>
      <c r="CS2" s="199" t="n"/>
      <c r="CT2" s="199" t="n"/>
      <c r="CU2" s="199" t="n"/>
      <c r="CV2" s="199" t="n"/>
      <c r="CW2" s="199" t="n"/>
      <c r="CX2" s="199" t="n"/>
      <c r="CY2" s="199" t="n"/>
      <c r="CZ2" s="199" t="n"/>
      <c r="DA2" s="199" t="n"/>
      <c r="DB2" s="199" t="n"/>
      <c r="DC2" s="199" t="n"/>
      <c r="DD2" s="199" t="n"/>
      <c r="DE2" s="199" t="n"/>
      <c r="DF2" s="199" t="n"/>
      <c r="DG2" s="199" t="n"/>
      <c r="DH2" s="199" t="n"/>
      <c r="DI2" s="199" t="n"/>
      <c r="DJ2" s="199" t="n"/>
      <c r="DK2" s="199" t="n"/>
      <c r="DL2" s="199" t="n"/>
      <c r="DM2" s="199" t="n"/>
      <c r="DN2" s="199" t="n"/>
      <c r="DO2" s="199" t="n"/>
      <c r="DP2" s="199" t="n"/>
      <c r="DQ2" s="199" t="n"/>
      <c r="DR2" s="199" t="n"/>
      <c r="DS2" s="199" t="n"/>
      <c r="DT2" s="199" t="n"/>
      <c r="DU2" s="199" t="n"/>
      <c r="DV2" s="199" t="n"/>
      <c r="DW2" s="199" t="n"/>
      <c r="DX2" s="199" t="n"/>
      <c r="DY2" s="199" t="n"/>
      <c r="DZ2" s="199" t="n"/>
      <c r="EA2" s="199" t="n"/>
      <c r="EB2" s="199" t="n"/>
      <c r="EC2" s="199" t="n"/>
      <c r="ED2" s="199" t="n"/>
      <c r="EE2" s="199" t="n"/>
      <c r="EF2" s="199" t="n"/>
      <c r="EG2" s="199" t="n"/>
      <c r="EH2" s="199" t="n"/>
      <c r="EI2" s="199" t="n"/>
      <c r="EJ2" s="199" t="n"/>
      <c r="EK2" s="199" t="n"/>
      <c r="EL2" s="199" t="n"/>
      <c r="EM2" s="199" t="n"/>
      <c r="EN2" s="199" t="n"/>
      <c r="EO2" s="199" t="n"/>
      <c r="EP2" s="199" t="n"/>
      <c r="EQ2" s="199" t="n"/>
      <c r="ER2" s="199" t="n"/>
      <c r="ES2" s="199" t="n"/>
      <c r="ET2" s="199" t="n"/>
      <c r="EU2" s="199" t="n"/>
      <c r="EV2" s="199" t="n"/>
      <c r="EW2" s="199" t="n"/>
      <c r="EX2" s="199" t="n"/>
      <c r="EY2" s="199" t="n"/>
      <c r="EZ2" s="199" t="n"/>
      <c r="FA2" s="199" t="n"/>
      <c r="FB2" s="199" t="n"/>
      <c r="FC2" s="199" t="n"/>
      <c r="FD2" s="199" t="n"/>
      <c r="FE2" s="199" t="n"/>
      <c r="FF2" s="199" t="n"/>
      <c r="FG2" s="199" t="n"/>
      <c r="FH2" s="199" t="n"/>
      <c r="FI2" s="199" t="n"/>
      <c r="FJ2" s="199" t="n"/>
      <c r="FK2" s="199" t="n"/>
      <c r="FL2" s="199" t="n"/>
      <c r="FM2" s="199" t="n"/>
      <c r="FN2" s="199" t="n"/>
      <c r="FO2" s="199" t="n"/>
      <c r="FP2" s="199" t="n"/>
      <c r="FQ2" s="199" t="n"/>
    </row>
    <row r="3" ht="18" customHeight="1">
      <c r="B3" s="147" t="inlineStr">
        <is>
          <t>✓ = ดื่มนม     ✗ = ไม่ดื่ม      คลิกลูกศรในช่องเพื่อเลือก   •   ช่องสีเทา = นักเรียนไม่มาเรียน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444" t="inlineStr">
        <is>
          <t>เลขที่</t>
        </is>
      </c>
      <c r="B5" s="444" t="inlineStr">
        <is>
          <t>ชื่อ - สกุล</t>
        </is>
      </c>
      <c r="C5" s="445" t="inlineStr">
        <is>
          <t>ร้อยละ
ทั้งภาค</t>
        </is>
      </c>
      <c r="D5" s="446">
        <f>"เดือนพฤศจิกายน  พ.ศ. "&amp;('ข้อมูลโรงเรียน'!$C$12-543+543)</f>
        <v/>
      </c>
      <c r="AI5" s="447" t="inlineStr">
        <is>
          <t>สรุป พ.ย.</t>
        </is>
      </c>
      <c r="AL5" s="446">
        <f>"เดือนธันวาคม  พ.ศ. "&amp;('ข้อมูลโรงเรียน'!$C$12-543+543)</f>
        <v/>
      </c>
      <c r="BQ5" s="447" t="inlineStr">
        <is>
          <t>สรุป ธ.ค.</t>
        </is>
      </c>
      <c r="BT5" s="446">
        <f>"เดือนมกราคม  พ.ศ. "&amp;('ข้อมูลโรงเรียน'!$C$12-542+543)</f>
        <v/>
      </c>
      <c r="CY5" s="447" t="inlineStr">
        <is>
          <t>สรุป ม.ค.</t>
        </is>
      </c>
      <c r="DB5" s="446">
        <f>"เดือนกุมภาพันธ์  พ.ศ. "&amp;('ข้อมูลโรงเรียน'!$C$12-542+543)</f>
        <v/>
      </c>
      <c r="EG5" s="447" t="inlineStr">
        <is>
          <t>สรุป ก.พ.</t>
        </is>
      </c>
      <c r="EJ5" s="446">
        <f>"เดือนมีนาคม  พ.ศ. "&amp;('ข้อมูลโรงเรียน'!$C$12-542+543)</f>
        <v/>
      </c>
      <c r="FO5" s="447" t="inlineStr">
        <is>
          <t>สรุป มี.ค.</t>
        </is>
      </c>
    </row>
    <row r="6">
      <c r="D6" s="448">
        <f>IF('ปฏิทิน'!D5="","",DAY('ปฏิทิน'!D5))</f>
        <v/>
      </c>
      <c r="E6" s="445">
        <f>IF('ปฏิทิน'!E5="","",DAY('ปฏิทิน'!E5))</f>
        <v/>
      </c>
      <c r="F6" s="445">
        <f>IF('ปฏิทิน'!F5="","",DAY('ปฏิทิน'!F5))</f>
        <v/>
      </c>
      <c r="G6" s="445">
        <f>IF('ปฏิทิน'!G5="","",DAY('ปฏิทิน'!G5))</f>
        <v/>
      </c>
      <c r="H6" s="445">
        <f>IF('ปฏิทิน'!H5="","",DAY('ปฏิทิน'!H5))</f>
        <v/>
      </c>
      <c r="I6" s="445">
        <f>IF('ปฏิทิน'!I5="","",DAY('ปฏิทิน'!I5))</f>
        <v/>
      </c>
      <c r="J6" s="445">
        <f>IF('ปฏิทิน'!J5="","",DAY('ปฏิทิน'!J5))</f>
        <v/>
      </c>
      <c r="K6" s="445">
        <f>IF('ปฏิทิน'!K5="","",DAY('ปฏิทิน'!K5))</f>
        <v/>
      </c>
      <c r="L6" s="445">
        <f>IF('ปฏิทิน'!L5="","",DAY('ปฏิทิน'!L5))</f>
        <v/>
      </c>
      <c r="M6" s="445">
        <f>IF('ปฏิทิน'!M5="","",DAY('ปฏิทิน'!M5))</f>
        <v/>
      </c>
      <c r="N6" s="445">
        <f>IF('ปฏิทิน'!N5="","",DAY('ปฏิทิน'!N5))</f>
        <v/>
      </c>
      <c r="O6" s="445">
        <f>IF('ปฏิทิน'!O5="","",DAY('ปฏิทิน'!O5))</f>
        <v/>
      </c>
      <c r="P6" s="445">
        <f>IF('ปฏิทิน'!P5="","",DAY('ปฏิทิน'!P5))</f>
        <v/>
      </c>
      <c r="Q6" s="445">
        <f>IF('ปฏิทิน'!Q5="","",DAY('ปฏิทิน'!Q5))</f>
        <v/>
      </c>
      <c r="R6" s="445">
        <f>IF('ปฏิทิน'!R5="","",DAY('ปฏิทิน'!R5))</f>
        <v/>
      </c>
      <c r="S6" s="445">
        <f>IF('ปฏิทิน'!S5="","",DAY('ปฏิทิน'!S5))</f>
        <v/>
      </c>
      <c r="T6" s="445">
        <f>IF('ปฏิทิน'!T5="","",DAY('ปฏิทิน'!T5))</f>
        <v/>
      </c>
      <c r="U6" s="445">
        <f>IF('ปฏิทิน'!U5="","",DAY('ปฏิทิน'!U5))</f>
        <v/>
      </c>
      <c r="V6" s="445">
        <f>IF('ปฏิทิน'!V5="","",DAY('ปฏิทิน'!V5))</f>
        <v/>
      </c>
      <c r="W6" s="445">
        <f>IF('ปฏิทิน'!W5="","",DAY('ปฏิทิน'!W5))</f>
        <v/>
      </c>
      <c r="X6" s="445">
        <f>IF('ปฏิทิน'!X5="","",DAY('ปฏิทิน'!X5))</f>
        <v/>
      </c>
      <c r="Y6" s="445">
        <f>IF('ปฏิทิน'!Y5="","",DAY('ปฏิทิน'!Y5))</f>
        <v/>
      </c>
      <c r="Z6" s="445">
        <f>IF('ปฏิทิน'!Z5="","",DAY('ปฏิทิน'!Z5))</f>
        <v/>
      </c>
      <c r="AA6" s="445">
        <f>IF('ปฏิทิน'!AA5="","",DAY('ปฏิทิน'!AA5))</f>
        <v/>
      </c>
      <c r="AB6" s="445">
        <f>IF('ปฏิทิน'!AB5="","",DAY('ปฏิทิน'!AB5))</f>
        <v/>
      </c>
      <c r="AC6" s="445">
        <f>IF('ปฏิทิน'!AC5="","",DAY('ปฏิทิน'!AC5))</f>
        <v/>
      </c>
      <c r="AD6" s="445">
        <f>IF('ปฏิทิน'!AD5="","",DAY('ปฏิทิน'!AD5))</f>
        <v/>
      </c>
      <c r="AE6" s="445">
        <f>IF('ปฏิทิน'!AE5="","",DAY('ปฏิทิน'!AE5))</f>
        <v/>
      </c>
      <c r="AF6" s="445">
        <f>IF('ปฏิทิน'!AF5="","",DAY('ปฏิทิน'!AF5))</f>
        <v/>
      </c>
      <c r="AG6" s="445">
        <f>IF('ปฏิทิน'!AG5="","",DAY('ปฏิทิน'!AG5))</f>
        <v/>
      </c>
      <c r="AH6" s="445">
        <f>IF('ปฏิทิน'!AH5="","",DAY('ปฏิทิน'!AH5))</f>
        <v/>
      </c>
      <c r="AI6" s="449" t="inlineStr">
        <is>
          <t>ดื่ม</t>
        </is>
      </c>
      <c r="AJ6" s="450" t="inlineStr">
        <is>
          <t>ไม่
ดื่ม</t>
        </is>
      </c>
      <c r="AK6" s="451" t="inlineStr">
        <is>
          <t>ร้อยละ</t>
        </is>
      </c>
      <c r="AL6" s="448">
        <f>IF('ปฏิทิน'!AL5="","",DAY('ปฏิทิน'!AL5))</f>
        <v/>
      </c>
      <c r="AM6" s="445">
        <f>IF('ปฏิทิน'!AM5="","",DAY('ปฏิทิน'!AM5))</f>
        <v/>
      </c>
      <c r="AN6" s="445">
        <f>IF('ปฏิทิน'!AN5="","",DAY('ปฏิทิน'!AN5))</f>
        <v/>
      </c>
      <c r="AO6" s="445">
        <f>IF('ปฏิทิน'!AO5="","",DAY('ปฏิทิน'!AO5))</f>
        <v/>
      </c>
      <c r="AP6" s="445">
        <f>IF('ปฏิทิน'!AP5="","",DAY('ปฏิทิน'!AP5))</f>
        <v/>
      </c>
      <c r="AQ6" s="445">
        <f>IF('ปฏิทิน'!AQ5="","",DAY('ปฏิทิน'!AQ5))</f>
        <v/>
      </c>
      <c r="AR6" s="445">
        <f>IF('ปฏิทิน'!AR5="","",DAY('ปฏิทิน'!AR5))</f>
        <v/>
      </c>
      <c r="AS6" s="445">
        <f>IF('ปฏิทิน'!AS5="","",DAY('ปฏิทิน'!AS5))</f>
        <v/>
      </c>
      <c r="AT6" s="445">
        <f>IF('ปฏิทิน'!AT5="","",DAY('ปฏิทิน'!AT5))</f>
        <v/>
      </c>
      <c r="AU6" s="445">
        <f>IF('ปฏิทิน'!AU5="","",DAY('ปฏิทิน'!AU5))</f>
        <v/>
      </c>
      <c r="AV6" s="445">
        <f>IF('ปฏิทิน'!AV5="","",DAY('ปฏิทิน'!AV5))</f>
        <v/>
      </c>
      <c r="AW6" s="445">
        <f>IF('ปฏิทิน'!AW5="","",DAY('ปฏิทิน'!AW5))</f>
        <v/>
      </c>
      <c r="AX6" s="445">
        <f>IF('ปฏิทิน'!AX5="","",DAY('ปฏิทิน'!AX5))</f>
        <v/>
      </c>
      <c r="AY6" s="445">
        <f>IF('ปฏิทิน'!AY5="","",DAY('ปฏิทิน'!AY5))</f>
        <v/>
      </c>
      <c r="AZ6" s="445">
        <f>IF('ปฏิทิน'!AZ5="","",DAY('ปฏิทิน'!AZ5))</f>
        <v/>
      </c>
      <c r="BA6" s="445">
        <f>IF('ปฏิทิน'!BA5="","",DAY('ปฏิทิน'!BA5))</f>
        <v/>
      </c>
      <c r="BB6" s="445">
        <f>IF('ปฏิทิน'!BB5="","",DAY('ปฏิทิน'!BB5))</f>
        <v/>
      </c>
      <c r="BC6" s="445">
        <f>IF('ปฏิทิน'!BC5="","",DAY('ปฏิทิน'!BC5))</f>
        <v/>
      </c>
      <c r="BD6" s="445">
        <f>IF('ปฏิทิน'!BD5="","",DAY('ปฏิทิน'!BD5))</f>
        <v/>
      </c>
      <c r="BE6" s="445">
        <f>IF('ปฏิทิน'!BE5="","",DAY('ปฏิทิน'!BE5))</f>
        <v/>
      </c>
      <c r="BF6" s="445">
        <f>IF('ปฏิทิน'!BF5="","",DAY('ปฏิทิน'!BF5))</f>
        <v/>
      </c>
      <c r="BG6" s="445">
        <f>IF('ปฏิทิน'!BG5="","",DAY('ปฏิทิน'!BG5))</f>
        <v/>
      </c>
      <c r="BH6" s="445">
        <f>IF('ปฏิทิน'!BH5="","",DAY('ปฏิทิน'!BH5))</f>
        <v/>
      </c>
      <c r="BI6" s="445">
        <f>IF('ปฏิทิน'!BI5="","",DAY('ปฏิทิน'!BI5))</f>
        <v/>
      </c>
      <c r="BJ6" s="445">
        <f>IF('ปฏิทิน'!BJ5="","",DAY('ปฏิทิน'!BJ5))</f>
        <v/>
      </c>
      <c r="BK6" s="445">
        <f>IF('ปฏิทิน'!BK5="","",DAY('ปฏิทิน'!BK5))</f>
        <v/>
      </c>
      <c r="BL6" s="445">
        <f>IF('ปฏิทิน'!BL5="","",DAY('ปฏิทิน'!BL5))</f>
        <v/>
      </c>
      <c r="BM6" s="445">
        <f>IF('ปฏิทิน'!BM5="","",DAY('ปฏิทิน'!BM5))</f>
        <v/>
      </c>
      <c r="BN6" s="445">
        <f>IF('ปฏิทิน'!BN5="","",DAY('ปฏิทิน'!BN5))</f>
        <v/>
      </c>
      <c r="BO6" s="445">
        <f>IF('ปฏิทิน'!BO5="","",DAY('ปฏิทิน'!BO5))</f>
        <v/>
      </c>
      <c r="BP6" s="445">
        <f>IF('ปฏิทิน'!BP5="","",DAY('ปฏิทิน'!BP5))</f>
        <v/>
      </c>
      <c r="BQ6" s="449" t="inlineStr">
        <is>
          <t>ดื่ม</t>
        </is>
      </c>
      <c r="BR6" s="450" t="inlineStr">
        <is>
          <t>ไม่
ดื่ม</t>
        </is>
      </c>
      <c r="BS6" s="451" t="inlineStr">
        <is>
          <t>ร้อยละ</t>
        </is>
      </c>
      <c r="BT6" s="448">
        <f>IF('ปฏิทิน'!BT5="","",DAY('ปฏิทิน'!BT5))</f>
        <v/>
      </c>
      <c r="BU6" s="445">
        <f>IF('ปฏิทิน'!BU5="","",DAY('ปฏิทิน'!BU5))</f>
        <v/>
      </c>
      <c r="BV6" s="445">
        <f>IF('ปฏิทิน'!BV5="","",DAY('ปฏิทิน'!BV5))</f>
        <v/>
      </c>
      <c r="BW6" s="445">
        <f>IF('ปฏิทิน'!BW5="","",DAY('ปฏิทิน'!BW5))</f>
        <v/>
      </c>
      <c r="BX6" s="445">
        <f>IF('ปฏิทิน'!BX5="","",DAY('ปฏิทิน'!BX5))</f>
        <v/>
      </c>
      <c r="BY6" s="445">
        <f>IF('ปฏิทิน'!BY5="","",DAY('ปฏิทิน'!BY5))</f>
        <v/>
      </c>
      <c r="BZ6" s="445">
        <f>IF('ปฏิทิน'!BZ5="","",DAY('ปฏิทิน'!BZ5))</f>
        <v/>
      </c>
      <c r="CA6" s="445">
        <f>IF('ปฏิทิน'!CA5="","",DAY('ปฏิทิน'!CA5))</f>
        <v/>
      </c>
      <c r="CB6" s="445">
        <f>IF('ปฏิทิน'!CB5="","",DAY('ปฏิทิน'!CB5))</f>
        <v/>
      </c>
      <c r="CC6" s="445">
        <f>IF('ปฏิทิน'!CC5="","",DAY('ปฏิทิน'!CC5))</f>
        <v/>
      </c>
      <c r="CD6" s="445">
        <f>IF('ปฏิทิน'!CD5="","",DAY('ปฏิทิน'!CD5))</f>
        <v/>
      </c>
      <c r="CE6" s="445">
        <f>IF('ปฏิทิน'!CE5="","",DAY('ปฏิทิน'!CE5))</f>
        <v/>
      </c>
      <c r="CF6" s="445">
        <f>IF('ปฏิทิน'!CF5="","",DAY('ปฏิทิน'!CF5))</f>
        <v/>
      </c>
      <c r="CG6" s="445">
        <f>IF('ปฏิทิน'!CG5="","",DAY('ปฏิทิน'!CG5))</f>
        <v/>
      </c>
      <c r="CH6" s="445">
        <f>IF('ปฏิทิน'!CH5="","",DAY('ปฏิทิน'!CH5))</f>
        <v/>
      </c>
      <c r="CI6" s="445">
        <f>IF('ปฏิทิน'!CI5="","",DAY('ปฏิทิน'!CI5))</f>
        <v/>
      </c>
      <c r="CJ6" s="445">
        <f>IF('ปฏิทิน'!CJ5="","",DAY('ปฏิทิน'!CJ5))</f>
        <v/>
      </c>
      <c r="CK6" s="445">
        <f>IF('ปฏิทิน'!CK5="","",DAY('ปฏิทิน'!CK5))</f>
        <v/>
      </c>
      <c r="CL6" s="445">
        <f>IF('ปฏิทิน'!CL5="","",DAY('ปฏิทิน'!CL5))</f>
        <v/>
      </c>
      <c r="CM6" s="445">
        <f>IF('ปฏิทิน'!CM5="","",DAY('ปฏิทิน'!CM5))</f>
        <v/>
      </c>
      <c r="CN6" s="445">
        <f>IF('ปฏิทิน'!CN5="","",DAY('ปฏิทิน'!CN5))</f>
        <v/>
      </c>
      <c r="CO6" s="445">
        <f>IF('ปฏิทิน'!CO5="","",DAY('ปฏิทิน'!CO5))</f>
        <v/>
      </c>
      <c r="CP6" s="445">
        <f>IF('ปฏิทิน'!CP5="","",DAY('ปฏิทิน'!CP5))</f>
        <v/>
      </c>
      <c r="CQ6" s="445">
        <f>IF('ปฏิทิน'!CQ5="","",DAY('ปฏิทิน'!CQ5))</f>
        <v/>
      </c>
      <c r="CR6" s="445">
        <f>IF('ปฏิทิน'!CR5="","",DAY('ปฏิทิน'!CR5))</f>
        <v/>
      </c>
      <c r="CS6" s="445">
        <f>IF('ปฏิทิน'!CS5="","",DAY('ปฏิทิน'!CS5))</f>
        <v/>
      </c>
      <c r="CT6" s="445">
        <f>IF('ปฏิทิน'!CT5="","",DAY('ปฏิทิน'!CT5))</f>
        <v/>
      </c>
      <c r="CU6" s="445">
        <f>IF('ปฏิทิน'!CU5="","",DAY('ปฏิทิน'!CU5))</f>
        <v/>
      </c>
      <c r="CV6" s="445">
        <f>IF('ปฏิทิน'!CV5="","",DAY('ปฏิทิน'!CV5))</f>
        <v/>
      </c>
      <c r="CW6" s="445">
        <f>IF('ปฏิทิน'!CW5="","",DAY('ปฏิทิน'!CW5))</f>
        <v/>
      </c>
      <c r="CX6" s="445">
        <f>IF('ปฏิทิน'!CX5="","",DAY('ปฏิทิน'!CX5))</f>
        <v/>
      </c>
      <c r="CY6" s="449" t="inlineStr">
        <is>
          <t>ดื่ม</t>
        </is>
      </c>
      <c r="CZ6" s="450" t="inlineStr">
        <is>
          <t>ไม่
ดื่ม</t>
        </is>
      </c>
      <c r="DA6" s="451" t="inlineStr">
        <is>
          <t>ร้อยละ</t>
        </is>
      </c>
      <c r="DB6" s="448">
        <f>IF('ปฏิทิน'!DB5="","",DAY('ปฏิทิน'!DB5))</f>
        <v/>
      </c>
      <c r="DC6" s="445">
        <f>IF('ปฏิทิน'!DC5="","",DAY('ปฏิทิน'!DC5))</f>
        <v/>
      </c>
      <c r="DD6" s="445">
        <f>IF('ปฏิทิน'!DD5="","",DAY('ปฏิทิน'!DD5))</f>
        <v/>
      </c>
      <c r="DE6" s="445">
        <f>IF('ปฏิทิน'!DE5="","",DAY('ปฏิทิน'!DE5))</f>
        <v/>
      </c>
      <c r="DF6" s="445">
        <f>IF('ปฏิทิน'!DF5="","",DAY('ปฏิทิน'!DF5))</f>
        <v/>
      </c>
      <c r="DG6" s="445">
        <f>IF('ปฏิทิน'!DG5="","",DAY('ปฏิทิน'!DG5))</f>
        <v/>
      </c>
      <c r="DH6" s="445">
        <f>IF('ปฏิทิน'!DH5="","",DAY('ปฏิทิน'!DH5))</f>
        <v/>
      </c>
      <c r="DI6" s="445">
        <f>IF('ปฏิทิน'!DI5="","",DAY('ปฏิทิน'!DI5))</f>
        <v/>
      </c>
      <c r="DJ6" s="445">
        <f>IF('ปฏิทิน'!DJ5="","",DAY('ปฏิทิน'!DJ5))</f>
        <v/>
      </c>
      <c r="DK6" s="445">
        <f>IF('ปฏิทิน'!DK5="","",DAY('ปฏิทิน'!DK5))</f>
        <v/>
      </c>
      <c r="DL6" s="445">
        <f>IF('ปฏิทิน'!DL5="","",DAY('ปฏิทิน'!DL5))</f>
        <v/>
      </c>
      <c r="DM6" s="445">
        <f>IF('ปฏิทิน'!DM5="","",DAY('ปฏิทิน'!DM5))</f>
        <v/>
      </c>
      <c r="DN6" s="445">
        <f>IF('ปฏิทิน'!DN5="","",DAY('ปฏิทิน'!DN5))</f>
        <v/>
      </c>
      <c r="DO6" s="445">
        <f>IF('ปฏิทิน'!DO5="","",DAY('ปฏิทิน'!DO5))</f>
        <v/>
      </c>
      <c r="DP6" s="445">
        <f>IF('ปฏิทิน'!DP5="","",DAY('ปฏิทิน'!DP5))</f>
        <v/>
      </c>
      <c r="DQ6" s="445">
        <f>IF('ปฏิทิน'!DQ5="","",DAY('ปฏิทิน'!DQ5))</f>
        <v/>
      </c>
      <c r="DR6" s="445">
        <f>IF('ปฏิทิน'!DR5="","",DAY('ปฏิทิน'!DR5))</f>
        <v/>
      </c>
      <c r="DS6" s="445">
        <f>IF('ปฏิทิน'!DS5="","",DAY('ปฏิทิน'!DS5))</f>
        <v/>
      </c>
      <c r="DT6" s="445">
        <f>IF('ปฏิทิน'!DT5="","",DAY('ปฏิทิน'!DT5))</f>
        <v/>
      </c>
      <c r="DU6" s="445">
        <f>IF('ปฏิทิน'!DU5="","",DAY('ปฏิทิน'!DU5))</f>
        <v/>
      </c>
      <c r="DV6" s="445">
        <f>IF('ปฏิทิน'!DV5="","",DAY('ปฏิทิน'!DV5))</f>
        <v/>
      </c>
      <c r="DW6" s="445">
        <f>IF('ปฏิทิน'!DW5="","",DAY('ปฏิทิน'!DW5))</f>
        <v/>
      </c>
      <c r="DX6" s="445">
        <f>IF('ปฏิทิน'!DX5="","",DAY('ปฏิทิน'!DX5))</f>
        <v/>
      </c>
      <c r="DY6" s="445">
        <f>IF('ปฏิทิน'!DY5="","",DAY('ปฏิทิน'!DY5))</f>
        <v/>
      </c>
      <c r="DZ6" s="445">
        <f>IF('ปฏิทิน'!DZ5="","",DAY('ปฏิทิน'!DZ5))</f>
        <v/>
      </c>
      <c r="EA6" s="445">
        <f>IF('ปฏิทิน'!EA5="","",DAY('ปฏิทิน'!EA5))</f>
        <v/>
      </c>
      <c r="EB6" s="445">
        <f>IF('ปฏิทิน'!EB5="","",DAY('ปฏิทิน'!EB5))</f>
        <v/>
      </c>
      <c r="EC6" s="445">
        <f>IF('ปฏิทิน'!EC5="","",DAY('ปฏิทิน'!EC5))</f>
        <v/>
      </c>
      <c r="ED6" s="445">
        <f>IF('ปฏิทิน'!ED5="","",DAY('ปฏิทิน'!ED5))</f>
        <v/>
      </c>
      <c r="EE6" s="445">
        <f>IF('ปฏิทิน'!EE5="","",DAY('ปฏิทิน'!EE5))</f>
        <v/>
      </c>
      <c r="EF6" s="445">
        <f>IF('ปฏิทิน'!EF5="","",DAY('ปฏิทิน'!EF5))</f>
        <v/>
      </c>
      <c r="EG6" s="449" t="inlineStr">
        <is>
          <t>ดื่ม</t>
        </is>
      </c>
      <c r="EH6" s="450" t="inlineStr">
        <is>
          <t>ไม่
ดื่ม</t>
        </is>
      </c>
      <c r="EI6" s="451" t="inlineStr">
        <is>
          <t>ร้อยละ</t>
        </is>
      </c>
      <c r="EJ6" s="448">
        <f>IF('ปฏิทิน'!EJ5="","",DAY('ปฏิทิน'!EJ5))</f>
        <v/>
      </c>
      <c r="EK6" s="445">
        <f>IF('ปฏิทิน'!EK5="","",DAY('ปฏิทิน'!EK5))</f>
        <v/>
      </c>
      <c r="EL6" s="445">
        <f>IF('ปฏิทิน'!EL5="","",DAY('ปฏิทิน'!EL5))</f>
        <v/>
      </c>
      <c r="EM6" s="445">
        <f>IF('ปฏิทิน'!EM5="","",DAY('ปฏิทิน'!EM5))</f>
        <v/>
      </c>
      <c r="EN6" s="445">
        <f>IF('ปฏิทิน'!EN5="","",DAY('ปฏิทิน'!EN5))</f>
        <v/>
      </c>
      <c r="EO6" s="445">
        <f>IF('ปฏิทิน'!EO5="","",DAY('ปฏิทิน'!EO5))</f>
        <v/>
      </c>
      <c r="EP6" s="445">
        <f>IF('ปฏิทิน'!EP5="","",DAY('ปฏิทิน'!EP5))</f>
        <v/>
      </c>
      <c r="EQ6" s="445">
        <f>IF('ปฏิทิน'!EQ5="","",DAY('ปฏิทิน'!EQ5))</f>
        <v/>
      </c>
      <c r="ER6" s="445">
        <f>IF('ปฏิทิน'!ER5="","",DAY('ปฏิทิน'!ER5))</f>
        <v/>
      </c>
      <c r="ES6" s="445">
        <f>IF('ปฏิทิน'!ES5="","",DAY('ปฏิทิน'!ES5))</f>
        <v/>
      </c>
      <c r="ET6" s="445">
        <f>IF('ปฏิทิน'!ET5="","",DAY('ปฏิทิน'!ET5))</f>
        <v/>
      </c>
      <c r="EU6" s="445">
        <f>IF('ปฏิทิน'!EU5="","",DAY('ปฏิทิน'!EU5))</f>
        <v/>
      </c>
      <c r="EV6" s="445">
        <f>IF('ปฏิทิน'!EV5="","",DAY('ปฏิทิน'!EV5))</f>
        <v/>
      </c>
      <c r="EW6" s="445">
        <f>IF('ปฏิทิน'!EW5="","",DAY('ปฏิทิน'!EW5))</f>
        <v/>
      </c>
      <c r="EX6" s="445">
        <f>IF('ปฏิทิน'!EX5="","",DAY('ปฏิทิน'!EX5))</f>
        <v/>
      </c>
      <c r="EY6" s="445">
        <f>IF('ปฏิทิน'!EY5="","",DAY('ปฏิทิน'!EY5))</f>
        <v/>
      </c>
      <c r="EZ6" s="445">
        <f>IF('ปฏิทิน'!EZ5="","",DAY('ปฏิทิน'!EZ5))</f>
        <v/>
      </c>
      <c r="FA6" s="445">
        <f>IF('ปฏิทิน'!FA5="","",DAY('ปฏิทิน'!FA5))</f>
        <v/>
      </c>
      <c r="FB6" s="445">
        <f>IF('ปฏิทิน'!FB5="","",DAY('ปฏิทิน'!FB5))</f>
        <v/>
      </c>
      <c r="FC6" s="445">
        <f>IF('ปฏิทิน'!FC5="","",DAY('ปฏิทิน'!FC5))</f>
        <v/>
      </c>
      <c r="FD6" s="445">
        <f>IF('ปฏิทิน'!FD5="","",DAY('ปฏิทิน'!FD5))</f>
        <v/>
      </c>
      <c r="FE6" s="445">
        <f>IF('ปฏิทิน'!FE5="","",DAY('ปฏิทิน'!FE5))</f>
        <v/>
      </c>
      <c r="FF6" s="445">
        <f>IF('ปฏิทิน'!FF5="","",DAY('ปฏิทิน'!FF5))</f>
        <v/>
      </c>
      <c r="FG6" s="445">
        <f>IF('ปฏิทิน'!FG5="","",DAY('ปฏิทิน'!FG5))</f>
        <v/>
      </c>
      <c r="FH6" s="445">
        <f>IF('ปฏิทิน'!FH5="","",DAY('ปฏิทิน'!FH5))</f>
        <v/>
      </c>
      <c r="FI6" s="445">
        <f>IF('ปฏิทิน'!FI5="","",DAY('ปฏิทิน'!FI5))</f>
        <v/>
      </c>
      <c r="FJ6" s="445">
        <f>IF('ปฏิทิน'!FJ5="","",DAY('ปฏิทิน'!FJ5))</f>
        <v/>
      </c>
      <c r="FK6" s="445">
        <f>IF('ปฏิทิน'!FK5="","",DAY('ปฏิทิน'!FK5))</f>
        <v/>
      </c>
      <c r="FL6" s="445">
        <f>IF('ปฏิทิน'!FL5="","",DAY('ปฏิทิน'!FL5))</f>
        <v/>
      </c>
      <c r="FM6" s="445">
        <f>IF('ปฏิทิน'!FM5="","",DAY('ปฏิทิน'!FM5))</f>
        <v/>
      </c>
      <c r="FN6" s="445">
        <f>IF('ปฏิทิน'!FN5="","",DAY('ปฏิทิน'!FN5))</f>
        <v/>
      </c>
      <c r="FO6" s="449" t="inlineStr">
        <is>
          <t>ดื่ม</t>
        </is>
      </c>
      <c r="FP6" s="450" t="inlineStr">
        <is>
          <t>ไม่
ดื่ม</t>
        </is>
      </c>
      <c r="FQ6" s="451" t="inlineStr">
        <is>
          <t>ร้อยละ</t>
        </is>
      </c>
    </row>
    <row r="7">
      <c r="D7" s="452">
        <f>IF('ปฏิทิน'!D5="","",CHOOSE(WEEKDAY('ปฏิทิน'!D5,2),"จ.","อ.","พ.","พฤ.","ศ.","ส.","อา."))</f>
        <v/>
      </c>
      <c r="E7" s="453">
        <f>IF('ปฏิทิน'!E5="","",CHOOSE(WEEKDAY('ปฏิทิน'!E5,2),"จ.","อ.","พ.","พฤ.","ศ.","ส.","อา."))</f>
        <v/>
      </c>
      <c r="F7" s="453">
        <f>IF('ปฏิทิน'!F5="","",CHOOSE(WEEKDAY('ปฏิทิน'!F5,2),"จ.","อ.","พ.","พฤ.","ศ.","ส.","อา."))</f>
        <v/>
      </c>
      <c r="G7" s="453">
        <f>IF('ปฏิทิน'!G5="","",CHOOSE(WEEKDAY('ปฏิทิน'!G5,2),"จ.","อ.","พ.","พฤ.","ศ.","ส.","อา."))</f>
        <v/>
      </c>
      <c r="H7" s="453">
        <f>IF('ปฏิทิน'!H5="","",CHOOSE(WEEKDAY('ปฏิทิน'!H5,2),"จ.","อ.","พ.","พฤ.","ศ.","ส.","อา."))</f>
        <v/>
      </c>
      <c r="I7" s="453">
        <f>IF('ปฏิทิน'!I5="","",CHOOSE(WEEKDAY('ปฏิทิน'!I5,2),"จ.","อ.","พ.","พฤ.","ศ.","ส.","อา."))</f>
        <v/>
      </c>
      <c r="J7" s="453">
        <f>IF('ปฏิทิน'!J5="","",CHOOSE(WEEKDAY('ปฏิทิน'!J5,2),"จ.","อ.","พ.","พฤ.","ศ.","ส.","อา."))</f>
        <v/>
      </c>
      <c r="K7" s="453">
        <f>IF('ปฏิทิน'!K5="","",CHOOSE(WEEKDAY('ปฏิทิน'!K5,2),"จ.","อ.","พ.","พฤ.","ศ.","ส.","อา."))</f>
        <v/>
      </c>
      <c r="L7" s="453">
        <f>IF('ปฏิทิน'!L5="","",CHOOSE(WEEKDAY('ปฏิทิน'!L5,2),"จ.","อ.","พ.","พฤ.","ศ.","ส.","อา."))</f>
        <v/>
      </c>
      <c r="M7" s="453">
        <f>IF('ปฏิทิน'!M5="","",CHOOSE(WEEKDAY('ปฏิทิน'!M5,2),"จ.","อ.","พ.","พฤ.","ศ.","ส.","อา."))</f>
        <v/>
      </c>
      <c r="N7" s="453">
        <f>IF('ปฏิทิน'!N5="","",CHOOSE(WEEKDAY('ปฏิทิน'!N5,2),"จ.","อ.","พ.","พฤ.","ศ.","ส.","อา."))</f>
        <v/>
      </c>
      <c r="O7" s="453">
        <f>IF('ปฏิทิน'!O5="","",CHOOSE(WEEKDAY('ปฏิทิน'!O5,2),"จ.","อ.","พ.","พฤ.","ศ.","ส.","อา."))</f>
        <v/>
      </c>
      <c r="P7" s="453">
        <f>IF('ปฏิทิน'!P5="","",CHOOSE(WEEKDAY('ปฏิทิน'!P5,2),"จ.","อ.","พ.","พฤ.","ศ.","ส.","อา."))</f>
        <v/>
      </c>
      <c r="Q7" s="453">
        <f>IF('ปฏิทิน'!Q5="","",CHOOSE(WEEKDAY('ปฏิทิน'!Q5,2),"จ.","อ.","พ.","พฤ.","ศ.","ส.","อา."))</f>
        <v/>
      </c>
      <c r="R7" s="453">
        <f>IF('ปฏิทิน'!R5="","",CHOOSE(WEEKDAY('ปฏิทิน'!R5,2),"จ.","อ.","พ.","พฤ.","ศ.","ส.","อา."))</f>
        <v/>
      </c>
      <c r="S7" s="453">
        <f>IF('ปฏิทิน'!S5="","",CHOOSE(WEEKDAY('ปฏิทิน'!S5,2),"จ.","อ.","พ.","พฤ.","ศ.","ส.","อา."))</f>
        <v/>
      </c>
      <c r="T7" s="453">
        <f>IF('ปฏิทิน'!T5="","",CHOOSE(WEEKDAY('ปฏิทิน'!T5,2),"จ.","อ.","พ.","พฤ.","ศ.","ส.","อา."))</f>
        <v/>
      </c>
      <c r="U7" s="453">
        <f>IF('ปฏิทิน'!U5="","",CHOOSE(WEEKDAY('ปฏิทิน'!U5,2),"จ.","อ.","พ.","พฤ.","ศ.","ส.","อา."))</f>
        <v/>
      </c>
      <c r="V7" s="453">
        <f>IF('ปฏิทิน'!V5="","",CHOOSE(WEEKDAY('ปฏิทิน'!V5,2),"จ.","อ.","พ.","พฤ.","ศ.","ส.","อา."))</f>
        <v/>
      </c>
      <c r="W7" s="453">
        <f>IF('ปฏิทิน'!W5="","",CHOOSE(WEEKDAY('ปฏิทิน'!W5,2),"จ.","อ.","พ.","พฤ.","ศ.","ส.","อา."))</f>
        <v/>
      </c>
      <c r="X7" s="453">
        <f>IF('ปฏิทิน'!X5="","",CHOOSE(WEEKDAY('ปฏิทิน'!X5,2),"จ.","อ.","พ.","พฤ.","ศ.","ส.","อา."))</f>
        <v/>
      </c>
      <c r="Y7" s="453">
        <f>IF('ปฏิทิน'!Y5="","",CHOOSE(WEEKDAY('ปฏิทิน'!Y5,2),"จ.","อ.","พ.","พฤ.","ศ.","ส.","อา."))</f>
        <v/>
      </c>
      <c r="Z7" s="453">
        <f>IF('ปฏิทิน'!Z5="","",CHOOSE(WEEKDAY('ปฏิทิน'!Z5,2),"จ.","อ.","พ.","พฤ.","ศ.","ส.","อา."))</f>
        <v/>
      </c>
      <c r="AA7" s="453">
        <f>IF('ปฏิทิน'!AA5="","",CHOOSE(WEEKDAY('ปฏิทิน'!AA5,2),"จ.","อ.","พ.","พฤ.","ศ.","ส.","อา."))</f>
        <v/>
      </c>
      <c r="AB7" s="453">
        <f>IF('ปฏิทิน'!AB5="","",CHOOSE(WEEKDAY('ปฏิทิน'!AB5,2),"จ.","อ.","พ.","พฤ.","ศ.","ส.","อา."))</f>
        <v/>
      </c>
      <c r="AC7" s="453">
        <f>IF('ปฏิทิน'!AC5="","",CHOOSE(WEEKDAY('ปฏิทิน'!AC5,2),"จ.","อ.","พ.","พฤ.","ศ.","ส.","อา."))</f>
        <v/>
      </c>
      <c r="AD7" s="453">
        <f>IF('ปฏิทิน'!AD5="","",CHOOSE(WEEKDAY('ปฏิทิน'!AD5,2),"จ.","อ.","พ.","พฤ.","ศ.","ส.","อา."))</f>
        <v/>
      </c>
      <c r="AE7" s="453">
        <f>IF('ปฏิทิน'!AE5="","",CHOOSE(WEEKDAY('ปฏิทิน'!AE5,2),"จ.","อ.","พ.","พฤ.","ศ.","ส.","อา."))</f>
        <v/>
      </c>
      <c r="AF7" s="453">
        <f>IF('ปฏิทิน'!AF5="","",CHOOSE(WEEKDAY('ปฏิทิน'!AF5,2),"จ.","อ.","พ.","พฤ.","ศ.","ส.","อา."))</f>
        <v/>
      </c>
      <c r="AG7" s="453">
        <f>IF('ปฏิทิน'!AG5="","",CHOOSE(WEEKDAY('ปฏิทิน'!AG5,2),"จ.","อ.","พ.","พฤ.","ศ.","ส.","อา."))</f>
        <v/>
      </c>
      <c r="AH7" s="453">
        <f>IF('ปฏิทิน'!AH5="","",CHOOSE(WEEKDAY('ปฏิทิน'!AH5,2),"จ.","อ.","พ.","พฤ.","ศ.","ส.","อา."))</f>
        <v/>
      </c>
      <c r="AI7" s="454" t="n"/>
      <c r="AL7" s="452">
        <f>IF('ปฏิทิน'!AL5="","",CHOOSE(WEEKDAY('ปฏิทิน'!AL5,2),"จ.","อ.","พ.","พฤ.","ศ.","ส.","อา."))</f>
        <v/>
      </c>
      <c r="AM7" s="453">
        <f>IF('ปฏิทิน'!AM5="","",CHOOSE(WEEKDAY('ปฏิทิน'!AM5,2),"จ.","อ.","พ.","พฤ.","ศ.","ส.","อา."))</f>
        <v/>
      </c>
      <c r="AN7" s="453">
        <f>IF('ปฏิทิน'!AN5="","",CHOOSE(WEEKDAY('ปฏิทิน'!AN5,2),"จ.","อ.","พ.","พฤ.","ศ.","ส.","อา."))</f>
        <v/>
      </c>
      <c r="AO7" s="453">
        <f>IF('ปฏิทิน'!AO5="","",CHOOSE(WEEKDAY('ปฏิทิน'!AO5,2),"จ.","อ.","พ.","พฤ.","ศ.","ส.","อา."))</f>
        <v/>
      </c>
      <c r="AP7" s="453">
        <f>IF('ปฏิทิน'!AP5="","",CHOOSE(WEEKDAY('ปฏิทิน'!AP5,2),"จ.","อ.","พ.","พฤ.","ศ.","ส.","อา."))</f>
        <v/>
      </c>
      <c r="AQ7" s="453">
        <f>IF('ปฏิทิน'!AQ5="","",CHOOSE(WEEKDAY('ปฏิทิน'!AQ5,2),"จ.","อ.","พ.","พฤ.","ศ.","ส.","อา."))</f>
        <v/>
      </c>
      <c r="AR7" s="453">
        <f>IF('ปฏิทิน'!AR5="","",CHOOSE(WEEKDAY('ปฏิทิน'!AR5,2),"จ.","อ.","พ.","พฤ.","ศ.","ส.","อา."))</f>
        <v/>
      </c>
      <c r="AS7" s="453">
        <f>IF('ปฏิทิน'!AS5="","",CHOOSE(WEEKDAY('ปฏิทิน'!AS5,2),"จ.","อ.","พ.","พฤ.","ศ.","ส.","อา."))</f>
        <v/>
      </c>
      <c r="AT7" s="453">
        <f>IF('ปฏิทิน'!AT5="","",CHOOSE(WEEKDAY('ปฏิทิน'!AT5,2),"จ.","อ.","พ.","พฤ.","ศ.","ส.","อา."))</f>
        <v/>
      </c>
      <c r="AU7" s="453">
        <f>IF('ปฏิทิน'!AU5="","",CHOOSE(WEEKDAY('ปฏิทิน'!AU5,2),"จ.","อ.","พ.","พฤ.","ศ.","ส.","อา."))</f>
        <v/>
      </c>
      <c r="AV7" s="453">
        <f>IF('ปฏิทิน'!AV5="","",CHOOSE(WEEKDAY('ปฏิทิน'!AV5,2),"จ.","อ.","พ.","พฤ.","ศ.","ส.","อา."))</f>
        <v/>
      </c>
      <c r="AW7" s="453">
        <f>IF('ปฏิทิน'!AW5="","",CHOOSE(WEEKDAY('ปฏิทิน'!AW5,2),"จ.","อ.","พ.","พฤ.","ศ.","ส.","อา."))</f>
        <v/>
      </c>
      <c r="AX7" s="453">
        <f>IF('ปฏิทิน'!AX5="","",CHOOSE(WEEKDAY('ปฏิทิน'!AX5,2),"จ.","อ.","พ.","พฤ.","ศ.","ส.","อา."))</f>
        <v/>
      </c>
      <c r="AY7" s="453">
        <f>IF('ปฏิทิน'!AY5="","",CHOOSE(WEEKDAY('ปฏิทิน'!AY5,2),"จ.","อ.","พ.","พฤ.","ศ.","ส.","อา."))</f>
        <v/>
      </c>
      <c r="AZ7" s="453">
        <f>IF('ปฏิทิน'!AZ5="","",CHOOSE(WEEKDAY('ปฏิทิน'!AZ5,2),"จ.","อ.","พ.","พฤ.","ศ.","ส.","อา."))</f>
        <v/>
      </c>
      <c r="BA7" s="453">
        <f>IF('ปฏิทิน'!BA5="","",CHOOSE(WEEKDAY('ปฏิทิน'!BA5,2),"จ.","อ.","พ.","พฤ.","ศ.","ส.","อา."))</f>
        <v/>
      </c>
      <c r="BB7" s="453">
        <f>IF('ปฏิทิน'!BB5="","",CHOOSE(WEEKDAY('ปฏิทิน'!BB5,2),"จ.","อ.","พ.","พฤ.","ศ.","ส.","อา."))</f>
        <v/>
      </c>
      <c r="BC7" s="453">
        <f>IF('ปฏิทิน'!BC5="","",CHOOSE(WEEKDAY('ปฏิทิน'!BC5,2),"จ.","อ.","พ.","พฤ.","ศ.","ส.","อา."))</f>
        <v/>
      </c>
      <c r="BD7" s="453">
        <f>IF('ปฏิทิน'!BD5="","",CHOOSE(WEEKDAY('ปฏิทิน'!BD5,2),"จ.","อ.","พ.","พฤ.","ศ.","ส.","อา."))</f>
        <v/>
      </c>
      <c r="BE7" s="453">
        <f>IF('ปฏิทิน'!BE5="","",CHOOSE(WEEKDAY('ปฏิทิน'!BE5,2),"จ.","อ.","พ.","พฤ.","ศ.","ส.","อา."))</f>
        <v/>
      </c>
      <c r="BF7" s="453">
        <f>IF('ปฏิทิน'!BF5="","",CHOOSE(WEEKDAY('ปฏิทิน'!BF5,2),"จ.","อ.","พ.","พฤ.","ศ.","ส.","อา."))</f>
        <v/>
      </c>
      <c r="BG7" s="453">
        <f>IF('ปฏิทิน'!BG5="","",CHOOSE(WEEKDAY('ปฏิทิน'!BG5,2),"จ.","อ.","พ.","พฤ.","ศ.","ส.","อา."))</f>
        <v/>
      </c>
      <c r="BH7" s="453">
        <f>IF('ปฏิทิน'!BH5="","",CHOOSE(WEEKDAY('ปฏิทิน'!BH5,2),"จ.","อ.","พ.","พฤ.","ศ.","ส.","อา."))</f>
        <v/>
      </c>
      <c r="BI7" s="453">
        <f>IF('ปฏิทิน'!BI5="","",CHOOSE(WEEKDAY('ปฏิทิน'!BI5,2),"จ.","อ.","พ.","พฤ.","ศ.","ส.","อา."))</f>
        <v/>
      </c>
      <c r="BJ7" s="453">
        <f>IF('ปฏิทิน'!BJ5="","",CHOOSE(WEEKDAY('ปฏิทิน'!BJ5,2),"จ.","อ.","พ.","พฤ.","ศ.","ส.","อา."))</f>
        <v/>
      </c>
      <c r="BK7" s="453">
        <f>IF('ปฏิทิน'!BK5="","",CHOOSE(WEEKDAY('ปฏิทิน'!BK5,2),"จ.","อ.","พ.","พฤ.","ศ.","ส.","อา."))</f>
        <v/>
      </c>
      <c r="BL7" s="453">
        <f>IF('ปฏิทิน'!BL5="","",CHOOSE(WEEKDAY('ปฏิทิน'!BL5,2),"จ.","อ.","พ.","พฤ.","ศ.","ส.","อา."))</f>
        <v/>
      </c>
      <c r="BM7" s="453">
        <f>IF('ปฏิทิน'!BM5="","",CHOOSE(WEEKDAY('ปฏิทิน'!BM5,2),"จ.","อ.","พ.","พฤ.","ศ.","ส.","อา."))</f>
        <v/>
      </c>
      <c r="BN7" s="453">
        <f>IF('ปฏิทิน'!BN5="","",CHOOSE(WEEKDAY('ปฏิทิน'!BN5,2),"จ.","อ.","พ.","พฤ.","ศ.","ส.","อา."))</f>
        <v/>
      </c>
      <c r="BO7" s="453">
        <f>IF('ปฏิทิน'!BO5="","",CHOOSE(WEEKDAY('ปฏิทิน'!BO5,2),"จ.","อ.","พ.","พฤ.","ศ.","ส.","อา."))</f>
        <v/>
      </c>
      <c r="BP7" s="453">
        <f>IF('ปฏิทิน'!BP5="","",CHOOSE(WEEKDAY('ปฏิทิน'!BP5,2),"จ.","อ.","พ.","พฤ.","ศ.","ส.","อา."))</f>
        <v/>
      </c>
      <c r="BQ7" s="454" t="n"/>
      <c r="BT7" s="452">
        <f>IF('ปฏิทิน'!BT5="","",CHOOSE(WEEKDAY('ปฏิทิน'!BT5,2),"จ.","อ.","พ.","พฤ.","ศ.","ส.","อา."))</f>
        <v/>
      </c>
      <c r="BU7" s="453">
        <f>IF('ปฏิทิน'!BU5="","",CHOOSE(WEEKDAY('ปฏิทิน'!BU5,2),"จ.","อ.","พ.","พฤ.","ศ.","ส.","อา."))</f>
        <v/>
      </c>
      <c r="BV7" s="453">
        <f>IF('ปฏิทิน'!BV5="","",CHOOSE(WEEKDAY('ปฏิทิน'!BV5,2),"จ.","อ.","พ.","พฤ.","ศ.","ส.","อา."))</f>
        <v/>
      </c>
      <c r="BW7" s="453">
        <f>IF('ปฏิทิน'!BW5="","",CHOOSE(WEEKDAY('ปฏิทิน'!BW5,2),"จ.","อ.","พ.","พฤ.","ศ.","ส.","อา."))</f>
        <v/>
      </c>
      <c r="BX7" s="453">
        <f>IF('ปฏิทิน'!BX5="","",CHOOSE(WEEKDAY('ปฏิทิน'!BX5,2),"จ.","อ.","พ.","พฤ.","ศ.","ส.","อา."))</f>
        <v/>
      </c>
      <c r="BY7" s="453">
        <f>IF('ปฏิทิน'!BY5="","",CHOOSE(WEEKDAY('ปฏิทิน'!BY5,2),"จ.","อ.","พ.","พฤ.","ศ.","ส.","อา."))</f>
        <v/>
      </c>
      <c r="BZ7" s="453">
        <f>IF('ปฏิทิน'!BZ5="","",CHOOSE(WEEKDAY('ปฏิทิน'!BZ5,2),"จ.","อ.","พ.","พฤ.","ศ.","ส.","อา."))</f>
        <v/>
      </c>
      <c r="CA7" s="453">
        <f>IF('ปฏิทิน'!CA5="","",CHOOSE(WEEKDAY('ปฏิทิน'!CA5,2),"จ.","อ.","พ.","พฤ.","ศ.","ส.","อา."))</f>
        <v/>
      </c>
      <c r="CB7" s="453">
        <f>IF('ปฏิทิน'!CB5="","",CHOOSE(WEEKDAY('ปฏิทิน'!CB5,2),"จ.","อ.","พ.","พฤ.","ศ.","ส.","อา."))</f>
        <v/>
      </c>
      <c r="CC7" s="453">
        <f>IF('ปฏิทิน'!CC5="","",CHOOSE(WEEKDAY('ปฏิทิน'!CC5,2),"จ.","อ.","พ.","พฤ.","ศ.","ส.","อา."))</f>
        <v/>
      </c>
      <c r="CD7" s="453">
        <f>IF('ปฏิทิน'!CD5="","",CHOOSE(WEEKDAY('ปฏิทิน'!CD5,2),"จ.","อ.","พ.","พฤ.","ศ.","ส.","อา."))</f>
        <v/>
      </c>
      <c r="CE7" s="453">
        <f>IF('ปฏิทิน'!CE5="","",CHOOSE(WEEKDAY('ปฏิทิน'!CE5,2),"จ.","อ.","พ.","พฤ.","ศ.","ส.","อา."))</f>
        <v/>
      </c>
      <c r="CF7" s="453">
        <f>IF('ปฏิทิน'!CF5="","",CHOOSE(WEEKDAY('ปฏิทิน'!CF5,2),"จ.","อ.","พ.","พฤ.","ศ.","ส.","อา."))</f>
        <v/>
      </c>
      <c r="CG7" s="453">
        <f>IF('ปฏิทิน'!CG5="","",CHOOSE(WEEKDAY('ปฏิทิน'!CG5,2),"จ.","อ.","พ.","พฤ.","ศ.","ส.","อา."))</f>
        <v/>
      </c>
      <c r="CH7" s="453">
        <f>IF('ปฏิทิน'!CH5="","",CHOOSE(WEEKDAY('ปฏิทิน'!CH5,2),"จ.","อ.","พ.","พฤ.","ศ.","ส.","อา."))</f>
        <v/>
      </c>
      <c r="CI7" s="453">
        <f>IF('ปฏิทิน'!CI5="","",CHOOSE(WEEKDAY('ปฏิทิน'!CI5,2),"จ.","อ.","พ.","พฤ.","ศ.","ส.","อา."))</f>
        <v/>
      </c>
      <c r="CJ7" s="453">
        <f>IF('ปฏิทิน'!CJ5="","",CHOOSE(WEEKDAY('ปฏิทิน'!CJ5,2),"จ.","อ.","พ.","พฤ.","ศ.","ส.","อา."))</f>
        <v/>
      </c>
      <c r="CK7" s="453">
        <f>IF('ปฏิทิน'!CK5="","",CHOOSE(WEEKDAY('ปฏิทิน'!CK5,2),"จ.","อ.","พ.","พฤ.","ศ.","ส.","อา."))</f>
        <v/>
      </c>
      <c r="CL7" s="453">
        <f>IF('ปฏิทิน'!CL5="","",CHOOSE(WEEKDAY('ปฏิทิน'!CL5,2),"จ.","อ.","พ.","พฤ.","ศ.","ส.","อา."))</f>
        <v/>
      </c>
      <c r="CM7" s="453">
        <f>IF('ปฏิทิน'!CM5="","",CHOOSE(WEEKDAY('ปฏิทิน'!CM5,2),"จ.","อ.","พ.","พฤ.","ศ.","ส.","อา."))</f>
        <v/>
      </c>
      <c r="CN7" s="453">
        <f>IF('ปฏิทิน'!CN5="","",CHOOSE(WEEKDAY('ปฏิทิน'!CN5,2),"จ.","อ.","พ.","พฤ.","ศ.","ส.","อา."))</f>
        <v/>
      </c>
      <c r="CO7" s="453">
        <f>IF('ปฏิทิน'!CO5="","",CHOOSE(WEEKDAY('ปฏิทิน'!CO5,2),"จ.","อ.","พ.","พฤ.","ศ.","ส.","อา."))</f>
        <v/>
      </c>
      <c r="CP7" s="453">
        <f>IF('ปฏิทิน'!CP5="","",CHOOSE(WEEKDAY('ปฏิทิน'!CP5,2),"จ.","อ.","พ.","พฤ.","ศ.","ส.","อา."))</f>
        <v/>
      </c>
      <c r="CQ7" s="453">
        <f>IF('ปฏิทิน'!CQ5="","",CHOOSE(WEEKDAY('ปฏิทิน'!CQ5,2),"จ.","อ.","พ.","พฤ.","ศ.","ส.","อา."))</f>
        <v/>
      </c>
      <c r="CR7" s="453">
        <f>IF('ปฏิทิน'!CR5="","",CHOOSE(WEEKDAY('ปฏิทิน'!CR5,2),"จ.","อ.","พ.","พฤ.","ศ.","ส.","อา."))</f>
        <v/>
      </c>
      <c r="CS7" s="453">
        <f>IF('ปฏิทิน'!CS5="","",CHOOSE(WEEKDAY('ปฏิทิน'!CS5,2),"จ.","อ.","พ.","พฤ.","ศ.","ส.","อา."))</f>
        <v/>
      </c>
      <c r="CT7" s="453">
        <f>IF('ปฏิทิน'!CT5="","",CHOOSE(WEEKDAY('ปฏิทิน'!CT5,2),"จ.","อ.","พ.","พฤ.","ศ.","ส.","อา."))</f>
        <v/>
      </c>
      <c r="CU7" s="453">
        <f>IF('ปฏิทิน'!CU5="","",CHOOSE(WEEKDAY('ปฏิทิน'!CU5,2),"จ.","อ.","พ.","พฤ.","ศ.","ส.","อา."))</f>
        <v/>
      </c>
      <c r="CV7" s="453">
        <f>IF('ปฏิทิน'!CV5="","",CHOOSE(WEEKDAY('ปฏิทิน'!CV5,2),"จ.","อ.","พ.","พฤ.","ศ.","ส.","อา."))</f>
        <v/>
      </c>
      <c r="CW7" s="453">
        <f>IF('ปฏิทิน'!CW5="","",CHOOSE(WEEKDAY('ปฏิทิน'!CW5,2),"จ.","อ.","พ.","พฤ.","ศ.","ส.","อา."))</f>
        <v/>
      </c>
      <c r="CX7" s="453">
        <f>IF('ปฏิทิน'!CX5="","",CHOOSE(WEEKDAY('ปฏิทิน'!CX5,2),"จ.","อ.","พ.","พฤ.","ศ.","ส.","อา."))</f>
        <v/>
      </c>
      <c r="CY7" s="454" t="n"/>
      <c r="DB7" s="452">
        <f>IF('ปฏิทิน'!DB5="","",CHOOSE(WEEKDAY('ปฏิทิน'!DB5,2),"จ.","อ.","พ.","พฤ.","ศ.","ส.","อา."))</f>
        <v/>
      </c>
      <c r="DC7" s="453">
        <f>IF('ปฏิทิน'!DC5="","",CHOOSE(WEEKDAY('ปฏิทิน'!DC5,2),"จ.","อ.","พ.","พฤ.","ศ.","ส.","อา."))</f>
        <v/>
      </c>
      <c r="DD7" s="453">
        <f>IF('ปฏิทิน'!DD5="","",CHOOSE(WEEKDAY('ปฏิทิน'!DD5,2),"จ.","อ.","พ.","พฤ.","ศ.","ส.","อา."))</f>
        <v/>
      </c>
      <c r="DE7" s="453">
        <f>IF('ปฏิทิน'!DE5="","",CHOOSE(WEEKDAY('ปฏิทิน'!DE5,2),"จ.","อ.","พ.","พฤ.","ศ.","ส.","อา."))</f>
        <v/>
      </c>
      <c r="DF7" s="453">
        <f>IF('ปฏิทิน'!DF5="","",CHOOSE(WEEKDAY('ปฏิทิน'!DF5,2),"จ.","อ.","พ.","พฤ.","ศ.","ส.","อา."))</f>
        <v/>
      </c>
      <c r="DG7" s="453">
        <f>IF('ปฏิทิน'!DG5="","",CHOOSE(WEEKDAY('ปฏิทิน'!DG5,2),"จ.","อ.","พ.","พฤ.","ศ.","ส.","อา."))</f>
        <v/>
      </c>
      <c r="DH7" s="453">
        <f>IF('ปฏิทิน'!DH5="","",CHOOSE(WEEKDAY('ปฏิทิน'!DH5,2),"จ.","อ.","พ.","พฤ.","ศ.","ส.","อา."))</f>
        <v/>
      </c>
      <c r="DI7" s="453">
        <f>IF('ปฏิทิน'!DI5="","",CHOOSE(WEEKDAY('ปฏิทิน'!DI5,2),"จ.","อ.","พ.","พฤ.","ศ.","ส.","อา."))</f>
        <v/>
      </c>
      <c r="DJ7" s="453">
        <f>IF('ปฏิทิน'!DJ5="","",CHOOSE(WEEKDAY('ปฏิทิน'!DJ5,2),"จ.","อ.","พ.","พฤ.","ศ.","ส.","อา."))</f>
        <v/>
      </c>
      <c r="DK7" s="453">
        <f>IF('ปฏิทิน'!DK5="","",CHOOSE(WEEKDAY('ปฏิทิน'!DK5,2),"จ.","อ.","พ.","พฤ.","ศ.","ส.","อา."))</f>
        <v/>
      </c>
      <c r="DL7" s="453">
        <f>IF('ปฏิทิน'!DL5="","",CHOOSE(WEEKDAY('ปฏิทิน'!DL5,2),"จ.","อ.","พ.","พฤ.","ศ.","ส.","อา."))</f>
        <v/>
      </c>
      <c r="DM7" s="453">
        <f>IF('ปฏิทิน'!DM5="","",CHOOSE(WEEKDAY('ปฏิทิน'!DM5,2),"จ.","อ.","พ.","พฤ.","ศ.","ส.","อา."))</f>
        <v/>
      </c>
      <c r="DN7" s="453">
        <f>IF('ปฏิทิน'!DN5="","",CHOOSE(WEEKDAY('ปฏิทิน'!DN5,2),"จ.","อ.","พ.","พฤ.","ศ.","ส.","อา."))</f>
        <v/>
      </c>
      <c r="DO7" s="453">
        <f>IF('ปฏิทิน'!DO5="","",CHOOSE(WEEKDAY('ปฏิทิน'!DO5,2),"จ.","อ.","พ.","พฤ.","ศ.","ส.","อา."))</f>
        <v/>
      </c>
      <c r="DP7" s="453">
        <f>IF('ปฏิทิน'!DP5="","",CHOOSE(WEEKDAY('ปฏิทิน'!DP5,2),"จ.","อ.","พ.","พฤ.","ศ.","ส.","อา."))</f>
        <v/>
      </c>
      <c r="DQ7" s="453">
        <f>IF('ปฏิทิน'!DQ5="","",CHOOSE(WEEKDAY('ปฏิทิน'!DQ5,2),"จ.","อ.","พ.","พฤ.","ศ.","ส.","อา."))</f>
        <v/>
      </c>
      <c r="DR7" s="453">
        <f>IF('ปฏิทิน'!DR5="","",CHOOSE(WEEKDAY('ปฏิทิน'!DR5,2),"จ.","อ.","พ.","พฤ.","ศ.","ส.","อา."))</f>
        <v/>
      </c>
      <c r="DS7" s="453">
        <f>IF('ปฏิทิน'!DS5="","",CHOOSE(WEEKDAY('ปฏิทิน'!DS5,2),"จ.","อ.","พ.","พฤ.","ศ.","ส.","อา."))</f>
        <v/>
      </c>
      <c r="DT7" s="453">
        <f>IF('ปฏิทิน'!DT5="","",CHOOSE(WEEKDAY('ปฏิทิน'!DT5,2),"จ.","อ.","พ.","พฤ.","ศ.","ส.","อา."))</f>
        <v/>
      </c>
      <c r="DU7" s="453">
        <f>IF('ปฏิทิน'!DU5="","",CHOOSE(WEEKDAY('ปฏิทิน'!DU5,2),"จ.","อ.","พ.","พฤ.","ศ.","ส.","อา."))</f>
        <v/>
      </c>
      <c r="DV7" s="453">
        <f>IF('ปฏิทิน'!DV5="","",CHOOSE(WEEKDAY('ปฏิทิน'!DV5,2),"จ.","อ.","พ.","พฤ.","ศ.","ส.","อา."))</f>
        <v/>
      </c>
      <c r="DW7" s="453">
        <f>IF('ปฏิทิน'!DW5="","",CHOOSE(WEEKDAY('ปฏิทิน'!DW5,2),"จ.","อ.","พ.","พฤ.","ศ.","ส.","อา."))</f>
        <v/>
      </c>
      <c r="DX7" s="453">
        <f>IF('ปฏิทิน'!DX5="","",CHOOSE(WEEKDAY('ปฏิทิน'!DX5,2),"จ.","อ.","พ.","พฤ.","ศ.","ส.","อา."))</f>
        <v/>
      </c>
      <c r="DY7" s="453">
        <f>IF('ปฏิทิน'!DY5="","",CHOOSE(WEEKDAY('ปฏิทิน'!DY5,2),"จ.","อ.","พ.","พฤ.","ศ.","ส.","อา."))</f>
        <v/>
      </c>
      <c r="DZ7" s="453">
        <f>IF('ปฏิทิน'!DZ5="","",CHOOSE(WEEKDAY('ปฏิทิน'!DZ5,2),"จ.","อ.","พ.","พฤ.","ศ.","ส.","อา."))</f>
        <v/>
      </c>
      <c r="EA7" s="453">
        <f>IF('ปฏิทิน'!EA5="","",CHOOSE(WEEKDAY('ปฏิทิน'!EA5,2),"จ.","อ.","พ.","พฤ.","ศ.","ส.","อา."))</f>
        <v/>
      </c>
      <c r="EB7" s="453">
        <f>IF('ปฏิทิน'!EB5="","",CHOOSE(WEEKDAY('ปฏิทิน'!EB5,2),"จ.","อ.","พ.","พฤ.","ศ.","ส.","อา."))</f>
        <v/>
      </c>
      <c r="EC7" s="453">
        <f>IF('ปฏิทิน'!EC5="","",CHOOSE(WEEKDAY('ปฏิทิน'!EC5,2),"จ.","อ.","พ.","พฤ.","ศ.","ส.","อา."))</f>
        <v/>
      </c>
      <c r="ED7" s="453">
        <f>IF('ปฏิทิน'!ED5="","",CHOOSE(WEEKDAY('ปฏิทิน'!ED5,2),"จ.","อ.","พ.","พฤ.","ศ.","ส.","อา."))</f>
        <v/>
      </c>
      <c r="EE7" s="453">
        <f>IF('ปฏิทิน'!EE5="","",CHOOSE(WEEKDAY('ปฏิทิน'!EE5,2),"จ.","อ.","พ.","พฤ.","ศ.","ส.","อา."))</f>
        <v/>
      </c>
      <c r="EF7" s="453">
        <f>IF('ปฏิทิน'!EF5="","",CHOOSE(WEEKDAY('ปฏิทิน'!EF5,2),"จ.","อ.","พ.","พฤ.","ศ.","ส.","อา."))</f>
        <v/>
      </c>
      <c r="EG7" s="454" t="n"/>
      <c r="EJ7" s="452">
        <f>IF('ปฏิทิน'!EJ5="","",CHOOSE(WEEKDAY('ปฏิทิน'!EJ5,2),"จ.","อ.","พ.","พฤ.","ศ.","ส.","อา."))</f>
        <v/>
      </c>
      <c r="EK7" s="453">
        <f>IF('ปฏิทิน'!EK5="","",CHOOSE(WEEKDAY('ปฏิทิน'!EK5,2),"จ.","อ.","พ.","พฤ.","ศ.","ส.","อา."))</f>
        <v/>
      </c>
      <c r="EL7" s="453">
        <f>IF('ปฏิทิน'!EL5="","",CHOOSE(WEEKDAY('ปฏิทิน'!EL5,2),"จ.","อ.","พ.","พฤ.","ศ.","ส.","อา."))</f>
        <v/>
      </c>
      <c r="EM7" s="453">
        <f>IF('ปฏิทิน'!EM5="","",CHOOSE(WEEKDAY('ปฏิทิน'!EM5,2),"จ.","อ.","พ.","พฤ.","ศ.","ส.","อา."))</f>
        <v/>
      </c>
      <c r="EN7" s="453">
        <f>IF('ปฏิทิน'!EN5="","",CHOOSE(WEEKDAY('ปฏิทิน'!EN5,2),"จ.","อ.","พ.","พฤ.","ศ.","ส.","อา."))</f>
        <v/>
      </c>
      <c r="EO7" s="453">
        <f>IF('ปฏิทิน'!EO5="","",CHOOSE(WEEKDAY('ปฏิทิน'!EO5,2),"จ.","อ.","พ.","พฤ.","ศ.","ส.","อา."))</f>
        <v/>
      </c>
      <c r="EP7" s="453">
        <f>IF('ปฏิทิน'!EP5="","",CHOOSE(WEEKDAY('ปฏิทิน'!EP5,2),"จ.","อ.","พ.","พฤ.","ศ.","ส.","อา."))</f>
        <v/>
      </c>
      <c r="EQ7" s="453">
        <f>IF('ปฏิทิน'!EQ5="","",CHOOSE(WEEKDAY('ปฏิทิน'!EQ5,2),"จ.","อ.","พ.","พฤ.","ศ.","ส.","อา."))</f>
        <v/>
      </c>
      <c r="ER7" s="453">
        <f>IF('ปฏิทิน'!ER5="","",CHOOSE(WEEKDAY('ปฏิทิน'!ER5,2),"จ.","อ.","พ.","พฤ.","ศ.","ส.","อา."))</f>
        <v/>
      </c>
      <c r="ES7" s="453">
        <f>IF('ปฏิทิน'!ES5="","",CHOOSE(WEEKDAY('ปฏิทิน'!ES5,2),"จ.","อ.","พ.","พฤ.","ศ.","ส.","อา."))</f>
        <v/>
      </c>
      <c r="ET7" s="453">
        <f>IF('ปฏิทิน'!ET5="","",CHOOSE(WEEKDAY('ปฏิทิน'!ET5,2),"จ.","อ.","พ.","พฤ.","ศ.","ส.","อา."))</f>
        <v/>
      </c>
      <c r="EU7" s="453">
        <f>IF('ปฏิทิน'!EU5="","",CHOOSE(WEEKDAY('ปฏิทิน'!EU5,2),"จ.","อ.","พ.","พฤ.","ศ.","ส.","อา."))</f>
        <v/>
      </c>
      <c r="EV7" s="453">
        <f>IF('ปฏิทิน'!EV5="","",CHOOSE(WEEKDAY('ปฏิทิน'!EV5,2),"จ.","อ.","พ.","พฤ.","ศ.","ส.","อา."))</f>
        <v/>
      </c>
      <c r="EW7" s="453">
        <f>IF('ปฏิทิน'!EW5="","",CHOOSE(WEEKDAY('ปฏิทิน'!EW5,2),"จ.","อ.","พ.","พฤ.","ศ.","ส.","อา."))</f>
        <v/>
      </c>
      <c r="EX7" s="453">
        <f>IF('ปฏิทิน'!EX5="","",CHOOSE(WEEKDAY('ปฏิทิน'!EX5,2),"จ.","อ.","พ.","พฤ.","ศ.","ส.","อา."))</f>
        <v/>
      </c>
      <c r="EY7" s="453">
        <f>IF('ปฏิทิน'!EY5="","",CHOOSE(WEEKDAY('ปฏิทิน'!EY5,2),"จ.","อ.","พ.","พฤ.","ศ.","ส.","อา."))</f>
        <v/>
      </c>
      <c r="EZ7" s="453">
        <f>IF('ปฏิทิน'!EZ5="","",CHOOSE(WEEKDAY('ปฏิทิน'!EZ5,2),"จ.","อ.","พ.","พฤ.","ศ.","ส.","อา."))</f>
        <v/>
      </c>
      <c r="FA7" s="453">
        <f>IF('ปฏิทิน'!FA5="","",CHOOSE(WEEKDAY('ปฏิทิน'!FA5,2),"จ.","อ.","พ.","พฤ.","ศ.","ส.","อา."))</f>
        <v/>
      </c>
      <c r="FB7" s="453">
        <f>IF('ปฏิทิน'!FB5="","",CHOOSE(WEEKDAY('ปฏิทิน'!FB5,2),"จ.","อ.","พ.","พฤ.","ศ.","ส.","อา."))</f>
        <v/>
      </c>
      <c r="FC7" s="453">
        <f>IF('ปฏิทิน'!FC5="","",CHOOSE(WEEKDAY('ปฏิทิน'!FC5,2),"จ.","อ.","พ.","พฤ.","ศ.","ส.","อา."))</f>
        <v/>
      </c>
      <c r="FD7" s="453">
        <f>IF('ปฏิทิน'!FD5="","",CHOOSE(WEEKDAY('ปฏิทิน'!FD5,2),"จ.","อ.","พ.","พฤ.","ศ.","ส.","อา."))</f>
        <v/>
      </c>
      <c r="FE7" s="453">
        <f>IF('ปฏิทิน'!FE5="","",CHOOSE(WEEKDAY('ปฏิทิน'!FE5,2),"จ.","อ.","พ.","พฤ.","ศ.","ส.","อา."))</f>
        <v/>
      </c>
      <c r="FF7" s="453">
        <f>IF('ปฏิทิน'!FF5="","",CHOOSE(WEEKDAY('ปฏิทิน'!FF5,2),"จ.","อ.","พ.","พฤ.","ศ.","ส.","อา."))</f>
        <v/>
      </c>
      <c r="FG7" s="453">
        <f>IF('ปฏิทิน'!FG5="","",CHOOSE(WEEKDAY('ปฏิทิน'!FG5,2),"จ.","อ.","พ.","พฤ.","ศ.","ส.","อา."))</f>
        <v/>
      </c>
      <c r="FH7" s="453">
        <f>IF('ปฏิทิน'!FH5="","",CHOOSE(WEEKDAY('ปฏิทิน'!FH5,2),"จ.","อ.","พ.","พฤ.","ศ.","ส.","อา."))</f>
        <v/>
      </c>
      <c r="FI7" s="453">
        <f>IF('ปฏิทิน'!FI5="","",CHOOSE(WEEKDAY('ปฏิทิน'!FI5,2),"จ.","อ.","พ.","พฤ.","ศ.","ส.","อา."))</f>
        <v/>
      </c>
      <c r="FJ7" s="453">
        <f>IF('ปฏิทิน'!FJ5="","",CHOOSE(WEEKDAY('ปฏิทิน'!FJ5,2),"จ.","อ.","พ.","พฤ.","ศ.","ส.","อา."))</f>
        <v/>
      </c>
      <c r="FK7" s="453">
        <f>IF('ปฏิทิน'!FK5="","",CHOOSE(WEEKDAY('ปฏิทิน'!FK5,2),"จ.","อ.","พ.","พฤ.","ศ.","ส.","อา."))</f>
        <v/>
      </c>
      <c r="FL7" s="453">
        <f>IF('ปฏิทิน'!FL5="","",CHOOSE(WEEKDAY('ปฏิทิน'!FL5,2),"จ.","อ.","พ.","พฤ.","ศ.","ส.","อา."))</f>
        <v/>
      </c>
      <c r="FM7" s="453">
        <f>IF('ปฏิทิน'!FM5="","",CHOOSE(WEEKDAY('ปฏิทิน'!FM5,2),"จ.","อ.","พ.","พฤ.","ศ.","ส.","อา."))</f>
        <v/>
      </c>
      <c r="FN7" s="453">
        <f>IF('ปฏิทิน'!FN5="","",CHOOSE(WEEKDAY('ปฏิทิน'!FN5,2),"จ.","อ.","พ.","พฤ.","ศ.","ส.","อา."))</f>
        <v/>
      </c>
      <c r="FO7" s="454" t="n"/>
    </row>
    <row r="8" ht="64" customHeight="1">
      <c r="D8" s="455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454" t="n"/>
      <c r="AL8" s="455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454" t="n"/>
      <c r="BT8" s="455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454" t="n"/>
      <c r="DB8" s="455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454" t="n"/>
      <c r="EJ8" s="455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454" t="n"/>
    </row>
    <row r="9">
      <c r="A9" s="218" t="n">
        <v>1</v>
      </c>
      <c r="B9" s="219">
        <f>'ข้อมูลนักเรียน'!T9</f>
        <v/>
      </c>
      <c r="C9" s="456">
        <f>IF(B9="","",IFERROR(COUNTIF(D9:FQ9,"✓")/(COUNTIF(D9:FQ9,"✓")+COUNTIF(D9:FQ9,"✗")),""))</f>
        <v/>
      </c>
      <c r="D9" s="45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458">
        <f>IF($B9="","",COUNTIF(D9:AH9,"✓"))</f>
        <v/>
      </c>
      <c r="AJ9" s="459">
        <f>IF($B9="","",COUNTIF(D9:AH9,"✗"))</f>
        <v/>
      </c>
      <c r="AK9" s="460">
        <f>IF($B9="","",IFERROR(ROUND(COUNTIF(D9:AH9,"✓")/(COUNTIF(D9:AH9,"✓")+COUNTIF(D9:AH9,"✗"))*100,0),""))</f>
        <v/>
      </c>
      <c r="AL9" s="45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458">
        <f>IF($B9="","",COUNTIF(AL9:BP9,"✓"))</f>
        <v/>
      </c>
      <c r="BR9" s="459">
        <f>IF($B9="","",COUNTIF(AL9:BP9,"✗"))</f>
        <v/>
      </c>
      <c r="BS9" s="460">
        <f>IF($B9="","",IFERROR(ROUND(COUNTIF(AL9:BP9,"✓")/(COUNTIF(AL9:BP9,"✓")+COUNTIF(AL9:BP9,"✗"))*100,0),""))</f>
        <v/>
      </c>
      <c r="BT9" s="45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458">
        <f>IF($B9="","",COUNTIF(BT9:CX9,"✓"))</f>
        <v/>
      </c>
      <c r="CZ9" s="459">
        <f>IF($B9="","",COUNTIF(BT9:CX9,"✗"))</f>
        <v/>
      </c>
      <c r="DA9" s="460">
        <f>IF($B9="","",IFERROR(ROUND(COUNTIF(BT9:CX9,"✓")/(COUNTIF(BT9:CX9,"✓")+COUNTIF(BT9:CX9,"✗"))*100,0),""))</f>
        <v/>
      </c>
      <c r="DB9" s="45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458">
        <f>IF($B9="","",COUNTIF(DB9:EF9,"✓"))</f>
        <v/>
      </c>
      <c r="EH9" s="459">
        <f>IF($B9="","",COUNTIF(DB9:EF9,"✗"))</f>
        <v/>
      </c>
      <c r="EI9" s="460">
        <f>IF($B9="","",IFERROR(ROUND(COUNTIF(DB9:EF9,"✓")/(COUNTIF(DB9:EF9,"✓")+COUNTIF(DB9:EF9,"✗"))*100,0),""))</f>
        <v/>
      </c>
      <c r="EJ9" s="45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458">
        <f>IF($B9="","",COUNTIF(EJ9:FN9,"✓"))</f>
        <v/>
      </c>
      <c r="FP9" s="459">
        <f>IF($B9="","",COUNTIF(EJ9:FN9,"✗"))</f>
        <v/>
      </c>
      <c r="FQ9" s="460">
        <f>IF($B9="","",IFERROR(ROUND(COUNTIF(EJ9:FN9,"✓")/(COUNTIF(EJ9:FN9,"✓")+COUNTIF(EJ9:FN9,"✗"))*100,0),""))</f>
        <v/>
      </c>
    </row>
    <row r="10">
      <c r="A10" s="226" t="n">
        <v>2</v>
      </c>
      <c r="B10" s="227">
        <f>'ข้อมูลนักเรียน'!T10</f>
        <v/>
      </c>
      <c r="C10" s="456">
        <f>IF(B10="","",IFERROR(COUNTIF(D10:FQ10,"✓")/(COUNTIF(D10:FQ10,"✓")+COUNTIF(D10:FQ10,"✗")),""))</f>
        <v/>
      </c>
      <c r="D10" s="45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458">
        <f>IF($B10="","",COUNTIF(D10:AH10,"✓"))</f>
        <v/>
      </c>
      <c r="AJ10" s="459">
        <f>IF($B10="","",COUNTIF(D10:AH10,"✗"))</f>
        <v/>
      </c>
      <c r="AK10" s="460">
        <f>IF($B10="","",IFERROR(ROUND(COUNTIF(D10:AH10,"✓")/(COUNTIF(D10:AH10,"✓")+COUNTIF(D10:AH10,"✗"))*100,0),""))</f>
        <v/>
      </c>
      <c r="AL10" s="45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458">
        <f>IF($B10="","",COUNTIF(AL10:BP10,"✓"))</f>
        <v/>
      </c>
      <c r="BR10" s="459">
        <f>IF($B10="","",COUNTIF(AL10:BP10,"✗"))</f>
        <v/>
      </c>
      <c r="BS10" s="460">
        <f>IF($B10="","",IFERROR(ROUND(COUNTIF(AL10:BP10,"✓")/(COUNTIF(AL10:BP10,"✓")+COUNTIF(AL10:BP10,"✗"))*100,0),""))</f>
        <v/>
      </c>
      <c r="BT10" s="45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458">
        <f>IF($B10="","",COUNTIF(BT10:CX10,"✓"))</f>
        <v/>
      </c>
      <c r="CZ10" s="459">
        <f>IF($B10="","",COUNTIF(BT10:CX10,"✗"))</f>
        <v/>
      </c>
      <c r="DA10" s="460">
        <f>IF($B10="","",IFERROR(ROUND(COUNTIF(BT10:CX10,"✓")/(COUNTIF(BT10:CX10,"✓")+COUNTIF(BT10:CX10,"✗"))*100,0),""))</f>
        <v/>
      </c>
      <c r="DB10" s="45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458">
        <f>IF($B10="","",COUNTIF(DB10:EF10,"✓"))</f>
        <v/>
      </c>
      <c r="EH10" s="459">
        <f>IF($B10="","",COUNTIF(DB10:EF10,"✗"))</f>
        <v/>
      </c>
      <c r="EI10" s="460">
        <f>IF($B10="","",IFERROR(ROUND(COUNTIF(DB10:EF10,"✓")/(COUNTIF(DB10:EF10,"✓")+COUNTIF(DB10:EF10,"✗"))*100,0),""))</f>
        <v/>
      </c>
      <c r="EJ10" s="45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458">
        <f>IF($B10="","",COUNTIF(EJ10:FN10,"✓"))</f>
        <v/>
      </c>
      <c r="FP10" s="459">
        <f>IF($B10="","",COUNTIF(EJ10:FN10,"✗"))</f>
        <v/>
      </c>
      <c r="FQ10" s="460">
        <f>IF($B10="","",IFERROR(ROUND(COUNTIF(EJ10:FN10,"✓")/(COUNTIF(EJ10:FN10,"✓")+COUNTIF(EJ10:FN10,"✗"))*100,0),""))</f>
        <v/>
      </c>
    </row>
    <row r="11">
      <c r="A11" s="218" t="n">
        <v>3</v>
      </c>
      <c r="B11" s="219">
        <f>'ข้อมูลนักเรียน'!T11</f>
        <v/>
      </c>
      <c r="C11" s="456">
        <f>IF(B11="","",IFERROR(COUNTIF(D11:FQ11,"✓")/(COUNTIF(D11:FQ11,"✓")+COUNTIF(D11:FQ11,"✗")),""))</f>
        <v/>
      </c>
      <c r="D11" s="45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458">
        <f>IF($B11="","",COUNTIF(D11:AH11,"✓"))</f>
        <v/>
      </c>
      <c r="AJ11" s="459">
        <f>IF($B11="","",COUNTIF(D11:AH11,"✗"))</f>
        <v/>
      </c>
      <c r="AK11" s="460">
        <f>IF($B11="","",IFERROR(ROUND(COUNTIF(D11:AH11,"✓")/(COUNTIF(D11:AH11,"✓")+COUNTIF(D11:AH11,"✗"))*100,0),""))</f>
        <v/>
      </c>
      <c r="AL11" s="45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458">
        <f>IF($B11="","",COUNTIF(AL11:BP11,"✓"))</f>
        <v/>
      </c>
      <c r="BR11" s="459">
        <f>IF($B11="","",COUNTIF(AL11:BP11,"✗"))</f>
        <v/>
      </c>
      <c r="BS11" s="460">
        <f>IF($B11="","",IFERROR(ROUND(COUNTIF(AL11:BP11,"✓")/(COUNTIF(AL11:BP11,"✓")+COUNTIF(AL11:BP11,"✗"))*100,0),""))</f>
        <v/>
      </c>
      <c r="BT11" s="45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458">
        <f>IF($B11="","",COUNTIF(BT11:CX11,"✓"))</f>
        <v/>
      </c>
      <c r="CZ11" s="459">
        <f>IF($B11="","",COUNTIF(BT11:CX11,"✗"))</f>
        <v/>
      </c>
      <c r="DA11" s="460">
        <f>IF($B11="","",IFERROR(ROUND(COUNTIF(BT11:CX11,"✓")/(COUNTIF(BT11:CX11,"✓")+COUNTIF(BT11:CX11,"✗"))*100,0),""))</f>
        <v/>
      </c>
      <c r="DB11" s="45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458">
        <f>IF($B11="","",COUNTIF(DB11:EF11,"✓"))</f>
        <v/>
      </c>
      <c r="EH11" s="459">
        <f>IF($B11="","",COUNTIF(DB11:EF11,"✗"))</f>
        <v/>
      </c>
      <c r="EI11" s="460">
        <f>IF($B11="","",IFERROR(ROUND(COUNTIF(DB11:EF11,"✓")/(COUNTIF(DB11:EF11,"✓")+COUNTIF(DB11:EF11,"✗"))*100,0),""))</f>
        <v/>
      </c>
      <c r="EJ11" s="45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458">
        <f>IF($B11="","",COUNTIF(EJ11:FN11,"✓"))</f>
        <v/>
      </c>
      <c r="FP11" s="459">
        <f>IF($B11="","",COUNTIF(EJ11:FN11,"✗"))</f>
        <v/>
      </c>
      <c r="FQ11" s="460">
        <f>IF($B11="","",IFERROR(ROUND(COUNTIF(EJ11:FN11,"✓")/(COUNTIF(EJ11:FN11,"✓")+COUNTIF(EJ11:FN11,"✗"))*100,0),""))</f>
        <v/>
      </c>
    </row>
    <row r="12">
      <c r="A12" s="226" t="n">
        <v>4</v>
      </c>
      <c r="B12" s="227">
        <f>'ข้อมูลนักเรียน'!T12</f>
        <v/>
      </c>
      <c r="C12" s="456">
        <f>IF(B12="","",IFERROR(COUNTIF(D12:FQ12,"✓")/(COUNTIF(D12:FQ12,"✓")+COUNTIF(D12:FQ12,"✗")),""))</f>
        <v/>
      </c>
      <c r="D12" s="45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458">
        <f>IF($B12="","",COUNTIF(D12:AH12,"✓"))</f>
        <v/>
      </c>
      <c r="AJ12" s="459">
        <f>IF($B12="","",COUNTIF(D12:AH12,"✗"))</f>
        <v/>
      </c>
      <c r="AK12" s="460">
        <f>IF($B12="","",IFERROR(ROUND(COUNTIF(D12:AH12,"✓")/(COUNTIF(D12:AH12,"✓")+COUNTIF(D12:AH12,"✗"))*100,0),""))</f>
        <v/>
      </c>
      <c r="AL12" s="45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458">
        <f>IF($B12="","",COUNTIF(AL12:BP12,"✓"))</f>
        <v/>
      </c>
      <c r="BR12" s="459">
        <f>IF($B12="","",COUNTIF(AL12:BP12,"✗"))</f>
        <v/>
      </c>
      <c r="BS12" s="460">
        <f>IF($B12="","",IFERROR(ROUND(COUNTIF(AL12:BP12,"✓")/(COUNTIF(AL12:BP12,"✓")+COUNTIF(AL12:BP12,"✗"))*100,0),""))</f>
        <v/>
      </c>
      <c r="BT12" s="45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458">
        <f>IF($B12="","",COUNTIF(BT12:CX12,"✓"))</f>
        <v/>
      </c>
      <c r="CZ12" s="459">
        <f>IF($B12="","",COUNTIF(BT12:CX12,"✗"))</f>
        <v/>
      </c>
      <c r="DA12" s="460">
        <f>IF($B12="","",IFERROR(ROUND(COUNTIF(BT12:CX12,"✓")/(COUNTIF(BT12:CX12,"✓")+COUNTIF(BT12:CX12,"✗"))*100,0),""))</f>
        <v/>
      </c>
      <c r="DB12" s="45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458">
        <f>IF($B12="","",COUNTIF(DB12:EF12,"✓"))</f>
        <v/>
      </c>
      <c r="EH12" s="459">
        <f>IF($B12="","",COUNTIF(DB12:EF12,"✗"))</f>
        <v/>
      </c>
      <c r="EI12" s="460">
        <f>IF($B12="","",IFERROR(ROUND(COUNTIF(DB12:EF12,"✓")/(COUNTIF(DB12:EF12,"✓")+COUNTIF(DB12:EF12,"✗"))*100,0),""))</f>
        <v/>
      </c>
      <c r="EJ12" s="45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458">
        <f>IF($B12="","",COUNTIF(EJ12:FN12,"✓"))</f>
        <v/>
      </c>
      <c r="FP12" s="459">
        <f>IF($B12="","",COUNTIF(EJ12:FN12,"✗"))</f>
        <v/>
      </c>
      <c r="FQ12" s="460">
        <f>IF($B12="","",IFERROR(ROUND(COUNTIF(EJ12:FN12,"✓")/(COUNTIF(EJ12:FN12,"✓")+COUNTIF(EJ12:FN12,"✗"))*100,0),""))</f>
        <v/>
      </c>
    </row>
    <row r="13">
      <c r="A13" s="218" t="n">
        <v>5</v>
      </c>
      <c r="B13" s="219">
        <f>'ข้อมูลนักเรียน'!T13</f>
        <v/>
      </c>
      <c r="C13" s="456">
        <f>IF(B13="","",IFERROR(COUNTIF(D13:FQ13,"✓")/(COUNTIF(D13:FQ13,"✓")+COUNTIF(D13:FQ13,"✗")),""))</f>
        <v/>
      </c>
      <c r="D13" s="45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458">
        <f>IF($B13="","",COUNTIF(D13:AH13,"✓"))</f>
        <v/>
      </c>
      <c r="AJ13" s="459">
        <f>IF($B13="","",COUNTIF(D13:AH13,"✗"))</f>
        <v/>
      </c>
      <c r="AK13" s="460">
        <f>IF($B13="","",IFERROR(ROUND(COUNTIF(D13:AH13,"✓")/(COUNTIF(D13:AH13,"✓")+COUNTIF(D13:AH13,"✗"))*100,0),""))</f>
        <v/>
      </c>
      <c r="AL13" s="45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458">
        <f>IF($B13="","",COUNTIF(AL13:BP13,"✓"))</f>
        <v/>
      </c>
      <c r="BR13" s="459">
        <f>IF($B13="","",COUNTIF(AL13:BP13,"✗"))</f>
        <v/>
      </c>
      <c r="BS13" s="460">
        <f>IF($B13="","",IFERROR(ROUND(COUNTIF(AL13:BP13,"✓")/(COUNTIF(AL13:BP13,"✓")+COUNTIF(AL13:BP13,"✗"))*100,0),""))</f>
        <v/>
      </c>
      <c r="BT13" s="45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458">
        <f>IF($B13="","",COUNTIF(BT13:CX13,"✓"))</f>
        <v/>
      </c>
      <c r="CZ13" s="459">
        <f>IF($B13="","",COUNTIF(BT13:CX13,"✗"))</f>
        <v/>
      </c>
      <c r="DA13" s="460">
        <f>IF($B13="","",IFERROR(ROUND(COUNTIF(BT13:CX13,"✓")/(COUNTIF(BT13:CX13,"✓")+COUNTIF(BT13:CX13,"✗"))*100,0),""))</f>
        <v/>
      </c>
      <c r="DB13" s="45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458">
        <f>IF($B13="","",COUNTIF(DB13:EF13,"✓"))</f>
        <v/>
      </c>
      <c r="EH13" s="459">
        <f>IF($B13="","",COUNTIF(DB13:EF13,"✗"))</f>
        <v/>
      </c>
      <c r="EI13" s="460">
        <f>IF($B13="","",IFERROR(ROUND(COUNTIF(DB13:EF13,"✓")/(COUNTIF(DB13:EF13,"✓")+COUNTIF(DB13:EF13,"✗"))*100,0),""))</f>
        <v/>
      </c>
      <c r="EJ13" s="45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458">
        <f>IF($B13="","",COUNTIF(EJ13:FN13,"✓"))</f>
        <v/>
      </c>
      <c r="FP13" s="459">
        <f>IF($B13="","",COUNTIF(EJ13:FN13,"✗"))</f>
        <v/>
      </c>
      <c r="FQ13" s="460">
        <f>IF($B13="","",IFERROR(ROUND(COUNTIF(EJ13:FN13,"✓")/(COUNTIF(EJ13:FN13,"✓")+COUNTIF(EJ13:FN13,"✗"))*100,0),""))</f>
        <v/>
      </c>
    </row>
    <row r="14">
      <c r="A14" s="461" t="inlineStr">
        <is>
          <t>ดื่มนม (กล่อง)</t>
        </is>
      </c>
      <c r="B14" s="184" t="n"/>
      <c r="C14" s="184" t="n"/>
      <c r="D14" s="462">
        <f>IF(D$4&lt;&gt;1,"",COUNTIF(D9:D13,"✓"))</f>
        <v/>
      </c>
      <c r="E14" s="463">
        <f>IF(E$4&lt;&gt;1,"",COUNTIF(E9:E13,"✓"))</f>
        <v/>
      </c>
      <c r="F14" s="463">
        <f>IF(F$4&lt;&gt;1,"",COUNTIF(F9:F13,"✓"))</f>
        <v/>
      </c>
      <c r="G14" s="463">
        <f>IF(G$4&lt;&gt;1,"",COUNTIF(G9:G13,"✓"))</f>
        <v/>
      </c>
      <c r="H14" s="463">
        <f>IF(H$4&lt;&gt;1,"",COUNTIF(H9:H13,"✓"))</f>
        <v/>
      </c>
      <c r="I14" s="463">
        <f>IF(I$4&lt;&gt;1,"",COUNTIF(I9:I13,"✓"))</f>
        <v/>
      </c>
      <c r="J14" s="463">
        <f>IF(J$4&lt;&gt;1,"",COUNTIF(J9:J13,"✓"))</f>
        <v/>
      </c>
      <c r="K14" s="463">
        <f>IF(K$4&lt;&gt;1,"",COUNTIF(K9:K13,"✓"))</f>
        <v/>
      </c>
      <c r="L14" s="463">
        <f>IF(L$4&lt;&gt;1,"",COUNTIF(L9:L13,"✓"))</f>
        <v/>
      </c>
      <c r="M14" s="463">
        <f>IF(M$4&lt;&gt;1,"",COUNTIF(M9:M13,"✓"))</f>
        <v/>
      </c>
      <c r="N14" s="463">
        <f>IF(N$4&lt;&gt;1,"",COUNTIF(N9:N13,"✓"))</f>
        <v/>
      </c>
      <c r="O14" s="463">
        <f>IF(O$4&lt;&gt;1,"",COUNTIF(O9:O13,"✓"))</f>
        <v/>
      </c>
      <c r="P14" s="463">
        <f>IF(P$4&lt;&gt;1,"",COUNTIF(P9:P13,"✓"))</f>
        <v/>
      </c>
      <c r="Q14" s="463">
        <f>IF(Q$4&lt;&gt;1,"",COUNTIF(Q9:Q13,"✓"))</f>
        <v/>
      </c>
      <c r="R14" s="463">
        <f>IF(R$4&lt;&gt;1,"",COUNTIF(R9:R13,"✓"))</f>
        <v/>
      </c>
      <c r="S14" s="463">
        <f>IF(S$4&lt;&gt;1,"",COUNTIF(S9:S13,"✓"))</f>
        <v/>
      </c>
      <c r="T14" s="463">
        <f>IF(T$4&lt;&gt;1,"",COUNTIF(T9:T13,"✓"))</f>
        <v/>
      </c>
      <c r="U14" s="463">
        <f>IF(U$4&lt;&gt;1,"",COUNTIF(U9:U13,"✓"))</f>
        <v/>
      </c>
      <c r="V14" s="463">
        <f>IF(V$4&lt;&gt;1,"",COUNTIF(V9:V13,"✓"))</f>
        <v/>
      </c>
      <c r="W14" s="463">
        <f>IF(W$4&lt;&gt;1,"",COUNTIF(W9:W13,"✓"))</f>
        <v/>
      </c>
      <c r="X14" s="463">
        <f>IF(X$4&lt;&gt;1,"",COUNTIF(X9:X13,"✓"))</f>
        <v/>
      </c>
      <c r="Y14" s="463">
        <f>IF(Y$4&lt;&gt;1,"",COUNTIF(Y9:Y13,"✓"))</f>
        <v/>
      </c>
      <c r="Z14" s="463">
        <f>IF(Z$4&lt;&gt;1,"",COUNTIF(Z9:Z13,"✓"))</f>
        <v/>
      </c>
      <c r="AA14" s="463">
        <f>IF(AA$4&lt;&gt;1,"",COUNTIF(AA9:AA13,"✓"))</f>
        <v/>
      </c>
      <c r="AB14" s="463">
        <f>IF(AB$4&lt;&gt;1,"",COUNTIF(AB9:AB13,"✓"))</f>
        <v/>
      </c>
      <c r="AC14" s="463">
        <f>IF(AC$4&lt;&gt;1,"",COUNTIF(AC9:AC13,"✓"))</f>
        <v/>
      </c>
      <c r="AD14" s="463">
        <f>IF(AD$4&lt;&gt;1,"",COUNTIF(AD9:AD13,"✓"))</f>
        <v/>
      </c>
      <c r="AE14" s="463">
        <f>IF(AE$4&lt;&gt;1,"",COUNTIF(AE9:AE13,"✓"))</f>
        <v/>
      </c>
      <c r="AF14" s="463">
        <f>IF(AF$4&lt;&gt;1,"",COUNTIF(AF9:AF13,"✓"))</f>
        <v/>
      </c>
      <c r="AG14" s="463">
        <f>IF(AG$4&lt;&gt;1,"",COUNTIF(AG9:AG13,"✓"))</f>
        <v/>
      </c>
      <c r="AH14" s="463">
        <f>IF(AH$4&lt;&gt;1,"",COUNTIF(AH9:AH13,"✓"))</f>
        <v/>
      </c>
      <c r="AI14" s="464">
        <f>SUM(AI9:AI13)</f>
        <v/>
      </c>
      <c r="AJ14" s="465">
        <f>SUM(AJ9:AJ13)</f>
        <v/>
      </c>
      <c r="AK14" s="466">
        <f>IFERROR(AVERAGE(AK9:AK13),"")</f>
        <v/>
      </c>
      <c r="AL14" s="462">
        <f>IF(AL$4&lt;&gt;1,"",COUNTIF(AL9:AL13,"✓"))</f>
        <v/>
      </c>
      <c r="AM14" s="463">
        <f>IF(AM$4&lt;&gt;1,"",COUNTIF(AM9:AM13,"✓"))</f>
        <v/>
      </c>
      <c r="AN14" s="463">
        <f>IF(AN$4&lt;&gt;1,"",COUNTIF(AN9:AN13,"✓"))</f>
        <v/>
      </c>
      <c r="AO14" s="463">
        <f>IF(AO$4&lt;&gt;1,"",COUNTIF(AO9:AO13,"✓"))</f>
        <v/>
      </c>
      <c r="AP14" s="463">
        <f>IF(AP$4&lt;&gt;1,"",COUNTIF(AP9:AP13,"✓"))</f>
        <v/>
      </c>
      <c r="AQ14" s="463">
        <f>IF(AQ$4&lt;&gt;1,"",COUNTIF(AQ9:AQ13,"✓"))</f>
        <v/>
      </c>
      <c r="AR14" s="463">
        <f>IF(AR$4&lt;&gt;1,"",COUNTIF(AR9:AR13,"✓"))</f>
        <v/>
      </c>
      <c r="AS14" s="463">
        <f>IF(AS$4&lt;&gt;1,"",COUNTIF(AS9:AS13,"✓"))</f>
        <v/>
      </c>
      <c r="AT14" s="463">
        <f>IF(AT$4&lt;&gt;1,"",COUNTIF(AT9:AT13,"✓"))</f>
        <v/>
      </c>
      <c r="AU14" s="463">
        <f>IF(AU$4&lt;&gt;1,"",COUNTIF(AU9:AU13,"✓"))</f>
        <v/>
      </c>
      <c r="AV14" s="463">
        <f>IF(AV$4&lt;&gt;1,"",COUNTIF(AV9:AV13,"✓"))</f>
        <v/>
      </c>
      <c r="AW14" s="463">
        <f>IF(AW$4&lt;&gt;1,"",COUNTIF(AW9:AW13,"✓"))</f>
        <v/>
      </c>
      <c r="AX14" s="463">
        <f>IF(AX$4&lt;&gt;1,"",COUNTIF(AX9:AX13,"✓"))</f>
        <v/>
      </c>
      <c r="AY14" s="463">
        <f>IF(AY$4&lt;&gt;1,"",COUNTIF(AY9:AY13,"✓"))</f>
        <v/>
      </c>
      <c r="AZ14" s="463">
        <f>IF(AZ$4&lt;&gt;1,"",COUNTIF(AZ9:AZ13,"✓"))</f>
        <v/>
      </c>
      <c r="BA14" s="463">
        <f>IF(BA$4&lt;&gt;1,"",COUNTIF(BA9:BA13,"✓"))</f>
        <v/>
      </c>
      <c r="BB14" s="463">
        <f>IF(BB$4&lt;&gt;1,"",COUNTIF(BB9:BB13,"✓"))</f>
        <v/>
      </c>
      <c r="BC14" s="463">
        <f>IF(BC$4&lt;&gt;1,"",COUNTIF(BC9:BC13,"✓"))</f>
        <v/>
      </c>
      <c r="BD14" s="463">
        <f>IF(BD$4&lt;&gt;1,"",COUNTIF(BD9:BD13,"✓"))</f>
        <v/>
      </c>
      <c r="BE14" s="463">
        <f>IF(BE$4&lt;&gt;1,"",COUNTIF(BE9:BE13,"✓"))</f>
        <v/>
      </c>
      <c r="BF14" s="463">
        <f>IF(BF$4&lt;&gt;1,"",COUNTIF(BF9:BF13,"✓"))</f>
        <v/>
      </c>
      <c r="BG14" s="463">
        <f>IF(BG$4&lt;&gt;1,"",COUNTIF(BG9:BG13,"✓"))</f>
        <v/>
      </c>
      <c r="BH14" s="463">
        <f>IF(BH$4&lt;&gt;1,"",COUNTIF(BH9:BH13,"✓"))</f>
        <v/>
      </c>
      <c r="BI14" s="463">
        <f>IF(BI$4&lt;&gt;1,"",COUNTIF(BI9:BI13,"✓"))</f>
        <v/>
      </c>
      <c r="BJ14" s="463">
        <f>IF(BJ$4&lt;&gt;1,"",COUNTIF(BJ9:BJ13,"✓"))</f>
        <v/>
      </c>
      <c r="BK14" s="463">
        <f>IF(BK$4&lt;&gt;1,"",COUNTIF(BK9:BK13,"✓"))</f>
        <v/>
      </c>
      <c r="BL14" s="463">
        <f>IF(BL$4&lt;&gt;1,"",COUNTIF(BL9:BL13,"✓"))</f>
        <v/>
      </c>
      <c r="BM14" s="463">
        <f>IF(BM$4&lt;&gt;1,"",COUNTIF(BM9:BM13,"✓"))</f>
        <v/>
      </c>
      <c r="BN14" s="463">
        <f>IF(BN$4&lt;&gt;1,"",COUNTIF(BN9:BN13,"✓"))</f>
        <v/>
      </c>
      <c r="BO14" s="463">
        <f>IF(BO$4&lt;&gt;1,"",COUNTIF(BO9:BO13,"✓"))</f>
        <v/>
      </c>
      <c r="BP14" s="463">
        <f>IF(BP$4&lt;&gt;1,"",COUNTIF(BP9:BP13,"✓"))</f>
        <v/>
      </c>
      <c r="BQ14" s="464">
        <f>SUM(BQ9:BQ13)</f>
        <v/>
      </c>
      <c r="BR14" s="465">
        <f>SUM(BR9:BR13)</f>
        <v/>
      </c>
      <c r="BS14" s="466">
        <f>IFERROR(AVERAGE(BS9:BS13),"")</f>
        <v/>
      </c>
      <c r="BT14" s="462">
        <f>IF(BT$4&lt;&gt;1,"",COUNTIF(BT9:BT13,"✓"))</f>
        <v/>
      </c>
      <c r="BU14" s="463">
        <f>IF(BU$4&lt;&gt;1,"",COUNTIF(BU9:BU13,"✓"))</f>
        <v/>
      </c>
      <c r="BV14" s="463">
        <f>IF(BV$4&lt;&gt;1,"",COUNTIF(BV9:BV13,"✓"))</f>
        <v/>
      </c>
      <c r="BW14" s="463">
        <f>IF(BW$4&lt;&gt;1,"",COUNTIF(BW9:BW13,"✓"))</f>
        <v/>
      </c>
      <c r="BX14" s="463">
        <f>IF(BX$4&lt;&gt;1,"",COUNTIF(BX9:BX13,"✓"))</f>
        <v/>
      </c>
      <c r="BY14" s="463">
        <f>IF(BY$4&lt;&gt;1,"",COUNTIF(BY9:BY13,"✓"))</f>
        <v/>
      </c>
      <c r="BZ14" s="463">
        <f>IF(BZ$4&lt;&gt;1,"",COUNTIF(BZ9:BZ13,"✓"))</f>
        <v/>
      </c>
      <c r="CA14" s="463">
        <f>IF(CA$4&lt;&gt;1,"",COUNTIF(CA9:CA13,"✓"))</f>
        <v/>
      </c>
      <c r="CB14" s="463">
        <f>IF(CB$4&lt;&gt;1,"",COUNTIF(CB9:CB13,"✓"))</f>
        <v/>
      </c>
      <c r="CC14" s="463">
        <f>IF(CC$4&lt;&gt;1,"",COUNTIF(CC9:CC13,"✓"))</f>
        <v/>
      </c>
      <c r="CD14" s="463">
        <f>IF(CD$4&lt;&gt;1,"",COUNTIF(CD9:CD13,"✓"))</f>
        <v/>
      </c>
      <c r="CE14" s="463">
        <f>IF(CE$4&lt;&gt;1,"",COUNTIF(CE9:CE13,"✓"))</f>
        <v/>
      </c>
      <c r="CF14" s="463">
        <f>IF(CF$4&lt;&gt;1,"",COUNTIF(CF9:CF13,"✓"))</f>
        <v/>
      </c>
      <c r="CG14" s="463">
        <f>IF(CG$4&lt;&gt;1,"",COUNTIF(CG9:CG13,"✓"))</f>
        <v/>
      </c>
      <c r="CH14" s="463">
        <f>IF(CH$4&lt;&gt;1,"",COUNTIF(CH9:CH13,"✓"))</f>
        <v/>
      </c>
      <c r="CI14" s="463">
        <f>IF(CI$4&lt;&gt;1,"",COUNTIF(CI9:CI13,"✓"))</f>
        <v/>
      </c>
      <c r="CJ14" s="463">
        <f>IF(CJ$4&lt;&gt;1,"",COUNTIF(CJ9:CJ13,"✓"))</f>
        <v/>
      </c>
      <c r="CK14" s="463">
        <f>IF(CK$4&lt;&gt;1,"",COUNTIF(CK9:CK13,"✓"))</f>
        <v/>
      </c>
      <c r="CL14" s="463">
        <f>IF(CL$4&lt;&gt;1,"",COUNTIF(CL9:CL13,"✓"))</f>
        <v/>
      </c>
      <c r="CM14" s="463">
        <f>IF(CM$4&lt;&gt;1,"",COUNTIF(CM9:CM13,"✓"))</f>
        <v/>
      </c>
      <c r="CN14" s="463">
        <f>IF(CN$4&lt;&gt;1,"",COUNTIF(CN9:CN13,"✓"))</f>
        <v/>
      </c>
      <c r="CO14" s="463">
        <f>IF(CO$4&lt;&gt;1,"",COUNTIF(CO9:CO13,"✓"))</f>
        <v/>
      </c>
      <c r="CP14" s="463">
        <f>IF(CP$4&lt;&gt;1,"",COUNTIF(CP9:CP13,"✓"))</f>
        <v/>
      </c>
      <c r="CQ14" s="463">
        <f>IF(CQ$4&lt;&gt;1,"",COUNTIF(CQ9:CQ13,"✓"))</f>
        <v/>
      </c>
      <c r="CR14" s="463">
        <f>IF(CR$4&lt;&gt;1,"",COUNTIF(CR9:CR13,"✓"))</f>
        <v/>
      </c>
      <c r="CS14" s="463">
        <f>IF(CS$4&lt;&gt;1,"",COUNTIF(CS9:CS13,"✓"))</f>
        <v/>
      </c>
      <c r="CT14" s="463">
        <f>IF(CT$4&lt;&gt;1,"",COUNTIF(CT9:CT13,"✓"))</f>
        <v/>
      </c>
      <c r="CU14" s="463">
        <f>IF(CU$4&lt;&gt;1,"",COUNTIF(CU9:CU13,"✓"))</f>
        <v/>
      </c>
      <c r="CV14" s="463">
        <f>IF(CV$4&lt;&gt;1,"",COUNTIF(CV9:CV13,"✓"))</f>
        <v/>
      </c>
      <c r="CW14" s="463">
        <f>IF(CW$4&lt;&gt;1,"",COUNTIF(CW9:CW13,"✓"))</f>
        <v/>
      </c>
      <c r="CX14" s="463">
        <f>IF(CX$4&lt;&gt;1,"",COUNTIF(CX9:CX13,"✓"))</f>
        <v/>
      </c>
      <c r="CY14" s="464">
        <f>SUM(CY9:CY13)</f>
        <v/>
      </c>
      <c r="CZ14" s="465">
        <f>SUM(CZ9:CZ13)</f>
        <v/>
      </c>
      <c r="DA14" s="466">
        <f>IFERROR(AVERAGE(DA9:DA13),"")</f>
        <v/>
      </c>
      <c r="DB14" s="462">
        <f>IF(DB$4&lt;&gt;1,"",COUNTIF(DB9:DB13,"✓"))</f>
        <v/>
      </c>
      <c r="DC14" s="463">
        <f>IF(DC$4&lt;&gt;1,"",COUNTIF(DC9:DC13,"✓"))</f>
        <v/>
      </c>
      <c r="DD14" s="463">
        <f>IF(DD$4&lt;&gt;1,"",COUNTIF(DD9:DD13,"✓"))</f>
        <v/>
      </c>
      <c r="DE14" s="463">
        <f>IF(DE$4&lt;&gt;1,"",COUNTIF(DE9:DE13,"✓"))</f>
        <v/>
      </c>
      <c r="DF14" s="463">
        <f>IF(DF$4&lt;&gt;1,"",COUNTIF(DF9:DF13,"✓"))</f>
        <v/>
      </c>
      <c r="DG14" s="463">
        <f>IF(DG$4&lt;&gt;1,"",COUNTIF(DG9:DG13,"✓"))</f>
        <v/>
      </c>
      <c r="DH14" s="463">
        <f>IF(DH$4&lt;&gt;1,"",COUNTIF(DH9:DH13,"✓"))</f>
        <v/>
      </c>
      <c r="DI14" s="463">
        <f>IF(DI$4&lt;&gt;1,"",COUNTIF(DI9:DI13,"✓"))</f>
        <v/>
      </c>
      <c r="DJ14" s="463">
        <f>IF(DJ$4&lt;&gt;1,"",COUNTIF(DJ9:DJ13,"✓"))</f>
        <v/>
      </c>
      <c r="DK14" s="463">
        <f>IF(DK$4&lt;&gt;1,"",COUNTIF(DK9:DK13,"✓"))</f>
        <v/>
      </c>
      <c r="DL14" s="463">
        <f>IF(DL$4&lt;&gt;1,"",COUNTIF(DL9:DL13,"✓"))</f>
        <v/>
      </c>
      <c r="DM14" s="463">
        <f>IF(DM$4&lt;&gt;1,"",COUNTIF(DM9:DM13,"✓"))</f>
        <v/>
      </c>
      <c r="DN14" s="463">
        <f>IF(DN$4&lt;&gt;1,"",COUNTIF(DN9:DN13,"✓"))</f>
        <v/>
      </c>
      <c r="DO14" s="463">
        <f>IF(DO$4&lt;&gt;1,"",COUNTIF(DO9:DO13,"✓"))</f>
        <v/>
      </c>
      <c r="DP14" s="463">
        <f>IF(DP$4&lt;&gt;1,"",COUNTIF(DP9:DP13,"✓"))</f>
        <v/>
      </c>
      <c r="DQ14" s="463">
        <f>IF(DQ$4&lt;&gt;1,"",COUNTIF(DQ9:DQ13,"✓"))</f>
        <v/>
      </c>
      <c r="DR14" s="463">
        <f>IF(DR$4&lt;&gt;1,"",COUNTIF(DR9:DR13,"✓"))</f>
        <v/>
      </c>
      <c r="DS14" s="463">
        <f>IF(DS$4&lt;&gt;1,"",COUNTIF(DS9:DS13,"✓"))</f>
        <v/>
      </c>
      <c r="DT14" s="463">
        <f>IF(DT$4&lt;&gt;1,"",COUNTIF(DT9:DT13,"✓"))</f>
        <v/>
      </c>
      <c r="DU14" s="463">
        <f>IF(DU$4&lt;&gt;1,"",COUNTIF(DU9:DU13,"✓"))</f>
        <v/>
      </c>
      <c r="DV14" s="463">
        <f>IF(DV$4&lt;&gt;1,"",COUNTIF(DV9:DV13,"✓"))</f>
        <v/>
      </c>
      <c r="DW14" s="463">
        <f>IF(DW$4&lt;&gt;1,"",COUNTIF(DW9:DW13,"✓"))</f>
        <v/>
      </c>
      <c r="DX14" s="463">
        <f>IF(DX$4&lt;&gt;1,"",COUNTIF(DX9:DX13,"✓"))</f>
        <v/>
      </c>
      <c r="DY14" s="463">
        <f>IF(DY$4&lt;&gt;1,"",COUNTIF(DY9:DY13,"✓"))</f>
        <v/>
      </c>
      <c r="DZ14" s="463">
        <f>IF(DZ$4&lt;&gt;1,"",COUNTIF(DZ9:DZ13,"✓"))</f>
        <v/>
      </c>
      <c r="EA14" s="463">
        <f>IF(EA$4&lt;&gt;1,"",COUNTIF(EA9:EA13,"✓"))</f>
        <v/>
      </c>
      <c r="EB14" s="463">
        <f>IF(EB$4&lt;&gt;1,"",COUNTIF(EB9:EB13,"✓"))</f>
        <v/>
      </c>
      <c r="EC14" s="463">
        <f>IF(EC$4&lt;&gt;1,"",COUNTIF(EC9:EC13,"✓"))</f>
        <v/>
      </c>
      <c r="ED14" s="463">
        <f>IF(ED$4&lt;&gt;1,"",COUNTIF(ED9:ED13,"✓"))</f>
        <v/>
      </c>
      <c r="EE14" s="463">
        <f>IF(EE$4&lt;&gt;1,"",COUNTIF(EE9:EE13,"✓"))</f>
        <v/>
      </c>
      <c r="EF14" s="463">
        <f>IF(EF$4&lt;&gt;1,"",COUNTIF(EF9:EF13,"✓"))</f>
        <v/>
      </c>
      <c r="EG14" s="464">
        <f>SUM(EG9:EG13)</f>
        <v/>
      </c>
      <c r="EH14" s="465">
        <f>SUM(EH9:EH13)</f>
        <v/>
      </c>
      <c r="EI14" s="466">
        <f>IFERROR(AVERAGE(EI9:EI13),"")</f>
        <v/>
      </c>
      <c r="EJ14" s="462">
        <f>IF(EJ$4&lt;&gt;1,"",COUNTIF(EJ9:EJ13,"✓"))</f>
        <v/>
      </c>
      <c r="EK14" s="463">
        <f>IF(EK$4&lt;&gt;1,"",COUNTIF(EK9:EK13,"✓"))</f>
        <v/>
      </c>
      <c r="EL14" s="463">
        <f>IF(EL$4&lt;&gt;1,"",COUNTIF(EL9:EL13,"✓"))</f>
        <v/>
      </c>
      <c r="EM14" s="463">
        <f>IF(EM$4&lt;&gt;1,"",COUNTIF(EM9:EM13,"✓"))</f>
        <v/>
      </c>
      <c r="EN14" s="463">
        <f>IF(EN$4&lt;&gt;1,"",COUNTIF(EN9:EN13,"✓"))</f>
        <v/>
      </c>
      <c r="EO14" s="463">
        <f>IF(EO$4&lt;&gt;1,"",COUNTIF(EO9:EO13,"✓"))</f>
        <v/>
      </c>
      <c r="EP14" s="463">
        <f>IF(EP$4&lt;&gt;1,"",COUNTIF(EP9:EP13,"✓"))</f>
        <v/>
      </c>
      <c r="EQ14" s="463">
        <f>IF(EQ$4&lt;&gt;1,"",COUNTIF(EQ9:EQ13,"✓"))</f>
        <v/>
      </c>
      <c r="ER14" s="463">
        <f>IF(ER$4&lt;&gt;1,"",COUNTIF(ER9:ER13,"✓"))</f>
        <v/>
      </c>
      <c r="ES14" s="463">
        <f>IF(ES$4&lt;&gt;1,"",COUNTIF(ES9:ES13,"✓"))</f>
        <v/>
      </c>
      <c r="ET14" s="463">
        <f>IF(ET$4&lt;&gt;1,"",COUNTIF(ET9:ET13,"✓"))</f>
        <v/>
      </c>
      <c r="EU14" s="463">
        <f>IF(EU$4&lt;&gt;1,"",COUNTIF(EU9:EU13,"✓"))</f>
        <v/>
      </c>
      <c r="EV14" s="463">
        <f>IF(EV$4&lt;&gt;1,"",COUNTIF(EV9:EV13,"✓"))</f>
        <v/>
      </c>
      <c r="EW14" s="463">
        <f>IF(EW$4&lt;&gt;1,"",COUNTIF(EW9:EW13,"✓"))</f>
        <v/>
      </c>
      <c r="EX14" s="463">
        <f>IF(EX$4&lt;&gt;1,"",COUNTIF(EX9:EX13,"✓"))</f>
        <v/>
      </c>
      <c r="EY14" s="463">
        <f>IF(EY$4&lt;&gt;1,"",COUNTIF(EY9:EY13,"✓"))</f>
        <v/>
      </c>
      <c r="EZ14" s="463">
        <f>IF(EZ$4&lt;&gt;1,"",COUNTIF(EZ9:EZ13,"✓"))</f>
        <v/>
      </c>
      <c r="FA14" s="463">
        <f>IF(FA$4&lt;&gt;1,"",COUNTIF(FA9:FA13,"✓"))</f>
        <v/>
      </c>
      <c r="FB14" s="463">
        <f>IF(FB$4&lt;&gt;1,"",COUNTIF(FB9:FB13,"✓"))</f>
        <v/>
      </c>
      <c r="FC14" s="463">
        <f>IF(FC$4&lt;&gt;1,"",COUNTIF(FC9:FC13,"✓"))</f>
        <v/>
      </c>
      <c r="FD14" s="463">
        <f>IF(FD$4&lt;&gt;1,"",COUNTIF(FD9:FD13,"✓"))</f>
        <v/>
      </c>
      <c r="FE14" s="463">
        <f>IF(FE$4&lt;&gt;1,"",COUNTIF(FE9:FE13,"✓"))</f>
        <v/>
      </c>
      <c r="FF14" s="463">
        <f>IF(FF$4&lt;&gt;1,"",COUNTIF(FF9:FF13,"✓"))</f>
        <v/>
      </c>
      <c r="FG14" s="463">
        <f>IF(FG$4&lt;&gt;1,"",COUNTIF(FG9:FG13,"✓"))</f>
        <v/>
      </c>
      <c r="FH14" s="463">
        <f>IF(FH$4&lt;&gt;1,"",COUNTIF(FH9:FH13,"✓"))</f>
        <v/>
      </c>
      <c r="FI14" s="463">
        <f>IF(FI$4&lt;&gt;1,"",COUNTIF(FI9:FI13,"✓"))</f>
        <v/>
      </c>
      <c r="FJ14" s="463">
        <f>IF(FJ$4&lt;&gt;1,"",COUNTIF(FJ9:FJ13,"✓"))</f>
        <v/>
      </c>
      <c r="FK14" s="463">
        <f>IF(FK$4&lt;&gt;1,"",COUNTIF(FK9:FK13,"✓"))</f>
        <v/>
      </c>
      <c r="FL14" s="463">
        <f>IF(FL$4&lt;&gt;1,"",COUNTIF(FL9:FL13,"✓"))</f>
        <v/>
      </c>
      <c r="FM14" s="463">
        <f>IF(FM$4&lt;&gt;1,"",COUNTIF(FM9:FM13,"✓"))</f>
        <v/>
      </c>
      <c r="FN14" s="463">
        <f>IF(FN$4&lt;&gt;1,"",COUNTIF(FN9:FN13,"✓"))</f>
        <v/>
      </c>
      <c r="FO14" s="464">
        <f>SUM(FO9:FO13)</f>
        <v/>
      </c>
      <c r="FP14" s="465">
        <f>SUM(FP9:FP13)</f>
        <v/>
      </c>
      <c r="FQ14" s="466">
        <f>IFERROR(AVERAGE(FQ9:FQ13),"")</f>
        <v/>
      </c>
    </row>
    <row r="15">
      <c r="A15" s="461" t="inlineStr">
        <is>
          <t>ไม่ดื่ม (คน)</t>
        </is>
      </c>
      <c r="B15" s="184" t="n"/>
      <c r="C15" s="184" t="n"/>
      <c r="D15" s="462">
        <f>IF(D$4&lt;&gt;1,"",COUNTIF(D9:D13,"✗"))</f>
        <v/>
      </c>
      <c r="E15" s="463">
        <f>IF(E$4&lt;&gt;1,"",COUNTIF(E9:E13,"✗"))</f>
        <v/>
      </c>
      <c r="F15" s="463">
        <f>IF(F$4&lt;&gt;1,"",COUNTIF(F9:F13,"✗"))</f>
        <v/>
      </c>
      <c r="G15" s="463">
        <f>IF(G$4&lt;&gt;1,"",COUNTIF(G9:G13,"✗"))</f>
        <v/>
      </c>
      <c r="H15" s="463">
        <f>IF(H$4&lt;&gt;1,"",COUNTIF(H9:H13,"✗"))</f>
        <v/>
      </c>
      <c r="I15" s="463">
        <f>IF(I$4&lt;&gt;1,"",COUNTIF(I9:I13,"✗"))</f>
        <v/>
      </c>
      <c r="J15" s="463">
        <f>IF(J$4&lt;&gt;1,"",COUNTIF(J9:J13,"✗"))</f>
        <v/>
      </c>
      <c r="K15" s="463">
        <f>IF(K$4&lt;&gt;1,"",COUNTIF(K9:K13,"✗"))</f>
        <v/>
      </c>
      <c r="L15" s="463">
        <f>IF(L$4&lt;&gt;1,"",COUNTIF(L9:L13,"✗"))</f>
        <v/>
      </c>
      <c r="M15" s="463">
        <f>IF(M$4&lt;&gt;1,"",COUNTIF(M9:M13,"✗"))</f>
        <v/>
      </c>
      <c r="N15" s="463">
        <f>IF(N$4&lt;&gt;1,"",COUNTIF(N9:N13,"✗"))</f>
        <v/>
      </c>
      <c r="O15" s="463">
        <f>IF(O$4&lt;&gt;1,"",COUNTIF(O9:O13,"✗"))</f>
        <v/>
      </c>
      <c r="P15" s="463">
        <f>IF(P$4&lt;&gt;1,"",COUNTIF(P9:P13,"✗"))</f>
        <v/>
      </c>
      <c r="Q15" s="463">
        <f>IF(Q$4&lt;&gt;1,"",COUNTIF(Q9:Q13,"✗"))</f>
        <v/>
      </c>
      <c r="R15" s="463">
        <f>IF(R$4&lt;&gt;1,"",COUNTIF(R9:R13,"✗"))</f>
        <v/>
      </c>
      <c r="S15" s="463">
        <f>IF(S$4&lt;&gt;1,"",COUNTIF(S9:S13,"✗"))</f>
        <v/>
      </c>
      <c r="T15" s="463">
        <f>IF(T$4&lt;&gt;1,"",COUNTIF(T9:T13,"✗"))</f>
        <v/>
      </c>
      <c r="U15" s="463">
        <f>IF(U$4&lt;&gt;1,"",COUNTIF(U9:U13,"✗"))</f>
        <v/>
      </c>
      <c r="V15" s="463">
        <f>IF(V$4&lt;&gt;1,"",COUNTIF(V9:V13,"✗"))</f>
        <v/>
      </c>
      <c r="W15" s="463">
        <f>IF(W$4&lt;&gt;1,"",COUNTIF(W9:W13,"✗"))</f>
        <v/>
      </c>
      <c r="X15" s="463">
        <f>IF(X$4&lt;&gt;1,"",COUNTIF(X9:X13,"✗"))</f>
        <v/>
      </c>
      <c r="Y15" s="463">
        <f>IF(Y$4&lt;&gt;1,"",COUNTIF(Y9:Y13,"✗"))</f>
        <v/>
      </c>
      <c r="Z15" s="463">
        <f>IF(Z$4&lt;&gt;1,"",COUNTIF(Z9:Z13,"✗"))</f>
        <v/>
      </c>
      <c r="AA15" s="463">
        <f>IF(AA$4&lt;&gt;1,"",COUNTIF(AA9:AA13,"✗"))</f>
        <v/>
      </c>
      <c r="AB15" s="463">
        <f>IF(AB$4&lt;&gt;1,"",COUNTIF(AB9:AB13,"✗"))</f>
        <v/>
      </c>
      <c r="AC15" s="463">
        <f>IF(AC$4&lt;&gt;1,"",COUNTIF(AC9:AC13,"✗"))</f>
        <v/>
      </c>
      <c r="AD15" s="463">
        <f>IF(AD$4&lt;&gt;1,"",COUNTIF(AD9:AD13,"✗"))</f>
        <v/>
      </c>
      <c r="AE15" s="463">
        <f>IF(AE$4&lt;&gt;1,"",COUNTIF(AE9:AE13,"✗"))</f>
        <v/>
      </c>
      <c r="AF15" s="463">
        <f>IF(AF$4&lt;&gt;1,"",COUNTIF(AF9:AF13,"✗"))</f>
        <v/>
      </c>
      <c r="AG15" s="463">
        <f>IF(AG$4&lt;&gt;1,"",COUNTIF(AG9:AG13,"✗"))</f>
        <v/>
      </c>
      <c r="AH15" s="463">
        <f>IF(AH$4&lt;&gt;1,"",COUNTIF(AH9:AH13,"✗"))</f>
        <v/>
      </c>
      <c r="AI15" s="464" t="n"/>
      <c r="AJ15" s="465" t="n"/>
      <c r="AK15" s="466" t="n"/>
      <c r="AL15" s="462">
        <f>IF(AL$4&lt;&gt;1,"",COUNTIF(AL9:AL13,"✗"))</f>
        <v/>
      </c>
      <c r="AM15" s="463">
        <f>IF(AM$4&lt;&gt;1,"",COUNTIF(AM9:AM13,"✗"))</f>
        <v/>
      </c>
      <c r="AN15" s="463">
        <f>IF(AN$4&lt;&gt;1,"",COUNTIF(AN9:AN13,"✗"))</f>
        <v/>
      </c>
      <c r="AO15" s="463">
        <f>IF(AO$4&lt;&gt;1,"",COUNTIF(AO9:AO13,"✗"))</f>
        <v/>
      </c>
      <c r="AP15" s="463">
        <f>IF(AP$4&lt;&gt;1,"",COUNTIF(AP9:AP13,"✗"))</f>
        <v/>
      </c>
      <c r="AQ15" s="463">
        <f>IF(AQ$4&lt;&gt;1,"",COUNTIF(AQ9:AQ13,"✗"))</f>
        <v/>
      </c>
      <c r="AR15" s="463">
        <f>IF(AR$4&lt;&gt;1,"",COUNTIF(AR9:AR13,"✗"))</f>
        <v/>
      </c>
      <c r="AS15" s="463">
        <f>IF(AS$4&lt;&gt;1,"",COUNTIF(AS9:AS13,"✗"))</f>
        <v/>
      </c>
      <c r="AT15" s="463">
        <f>IF(AT$4&lt;&gt;1,"",COUNTIF(AT9:AT13,"✗"))</f>
        <v/>
      </c>
      <c r="AU15" s="463">
        <f>IF(AU$4&lt;&gt;1,"",COUNTIF(AU9:AU13,"✗"))</f>
        <v/>
      </c>
      <c r="AV15" s="463">
        <f>IF(AV$4&lt;&gt;1,"",COUNTIF(AV9:AV13,"✗"))</f>
        <v/>
      </c>
      <c r="AW15" s="463">
        <f>IF(AW$4&lt;&gt;1,"",COUNTIF(AW9:AW13,"✗"))</f>
        <v/>
      </c>
      <c r="AX15" s="463">
        <f>IF(AX$4&lt;&gt;1,"",COUNTIF(AX9:AX13,"✗"))</f>
        <v/>
      </c>
      <c r="AY15" s="463">
        <f>IF(AY$4&lt;&gt;1,"",COUNTIF(AY9:AY13,"✗"))</f>
        <v/>
      </c>
      <c r="AZ15" s="463">
        <f>IF(AZ$4&lt;&gt;1,"",COUNTIF(AZ9:AZ13,"✗"))</f>
        <v/>
      </c>
      <c r="BA15" s="463">
        <f>IF(BA$4&lt;&gt;1,"",COUNTIF(BA9:BA13,"✗"))</f>
        <v/>
      </c>
      <c r="BB15" s="463">
        <f>IF(BB$4&lt;&gt;1,"",COUNTIF(BB9:BB13,"✗"))</f>
        <v/>
      </c>
      <c r="BC15" s="463">
        <f>IF(BC$4&lt;&gt;1,"",COUNTIF(BC9:BC13,"✗"))</f>
        <v/>
      </c>
      <c r="BD15" s="463">
        <f>IF(BD$4&lt;&gt;1,"",COUNTIF(BD9:BD13,"✗"))</f>
        <v/>
      </c>
      <c r="BE15" s="463">
        <f>IF(BE$4&lt;&gt;1,"",COUNTIF(BE9:BE13,"✗"))</f>
        <v/>
      </c>
      <c r="BF15" s="463">
        <f>IF(BF$4&lt;&gt;1,"",COUNTIF(BF9:BF13,"✗"))</f>
        <v/>
      </c>
      <c r="BG15" s="463">
        <f>IF(BG$4&lt;&gt;1,"",COUNTIF(BG9:BG13,"✗"))</f>
        <v/>
      </c>
      <c r="BH15" s="463">
        <f>IF(BH$4&lt;&gt;1,"",COUNTIF(BH9:BH13,"✗"))</f>
        <v/>
      </c>
      <c r="BI15" s="463">
        <f>IF(BI$4&lt;&gt;1,"",COUNTIF(BI9:BI13,"✗"))</f>
        <v/>
      </c>
      <c r="BJ15" s="463">
        <f>IF(BJ$4&lt;&gt;1,"",COUNTIF(BJ9:BJ13,"✗"))</f>
        <v/>
      </c>
      <c r="BK15" s="463">
        <f>IF(BK$4&lt;&gt;1,"",COUNTIF(BK9:BK13,"✗"))</f>
        <v/>
      </c>
      <c r="BL15" s="463">
        <f>IF(BL$4&lt;&gt;1,"",COUNTIF(BL9:BL13,"✗"))</f>
        <v/>
      </c>
      <c r="BM15" s="463">
        <f>IF(BM$4&lt;&gt;1,"",COUNTIF(BM9:BM13,"✗"))</f>
        <v/>
      </c>
      <c r="BN15" s="463">
        <f>IF(BN$4&lt;&gt;1,"",COUNTIF(BN9:BN13,"✗"))</f>
        <v/>
      </c>
      <c r="BO15" s="463">
        <f>IF(BO$4&lt;&gt;1,"",COUNTIF(BO9:BO13,"✗"))</f>
        <v/>
      </c>
      <c r="BP15" s="463">
        <f>IF(BP$4&lt;&gt;1,"",COUNTIF(BP9:BP13,"✗"))</f>
        <v/>
      </c>
      <c r="BQ15" s="464" t="n"/>
      <c r="BR15" s="465" t="n"/>
      <c r="BS15" s="466" t="n"/>
      <c r="BT15" s="462">
        <f>IF(BT$4&lt;&gt;1,"",COUNTIF(BT9:BT13,"✗"))</f>
        <v/>
      </c>
      <c r="BU15" s="463">
        <f>IF(BU$4&lt;&gt;1,"",COUNTIF(BU9:BU13,"✗"))</f>
        <v/>
      </c>
      <c r="BV15" s="463">
        <f>IF(BV$4&lt;&gt;1,"",COUNTIF(BV9:BV13,"✗"))</f>
        <v/>
      </c>
      <c r="BW15" s="463">
        <f>IF(BW$4&lt;&gt;1,"",COUNTIF(BW9:BW13,"✗"))</f>
        <v/>
      </c>
      <c r="BX15" s="463">
        <f>IF(BX$4&lt;&gt;1,"",COUNTIF(BX9:BX13,"✗"))</f>
        <v/>
      </c>
      <c r="BY15" s="463">
        <f>IF(BY$4&lt;&gt;1,"",COUNTIF(BY9:BY13,"✗"))</f>
        <v/>
      </c>
      <c r="BZ15" s="463">
        <f>IF(BZ$4&lt;&gt;1,"",COUNTIF(BZ9:BZ13,"✗"))</f>
        <v/>
      </c>
      <c r="CA15" s="463">
        <f>IF(CA$4&lt;&gt;1,"",COUNTIF(CA9:CA13,"✗"))</f>
        <v/>
      </c>
      <c r="CB15" s="463">
        <f>IF(CB$4&lt;&gt;1,"",COUNTIF(CB9:CB13,"✗"))</f>
        <v/>
      </c>
      <c r="CC15" s="463">
        <f>IF(CC$4&lt;&gt;1,"",COUNTIF(CC9:CC13,"✗"))</f>
        <v/>
      </c>
      <c r="CD15" s="463">
        <f>IF(CD$4&lt;&gt;1,"",COUNTIF(CD9:CD13,"✗"))</f>
        <v/>
      </c>
      <c r="CE15" s="463">
        <f>IF(CE$4&lt;&gt;1,"",COUNTIF(CE9:CE13,"✗"))</f>
        <v/>
      </c>
      <c r="CF15" s="463">
        <f>IF(CF$4&lt;&gt;1,"",COUNTIF(CF9:CF13,"✗"))</f>
        <v/>
      </c>
      <c r="CG15" s="463">
        <f>IF(CG$4&lt;&gt;1,"",COUNTIF(CG9:CG13,"✗"))</f>
        <v/>
      </c>
      <c r="CH15" s="463">
        <f>IF(CH$4&lt;&gt;1,"",COUNTIF(CH9:CH13,"✗"))</f>
        <v/>
      </c>
      <c r="CI15" s="463">
        <f>IF(CI$4&lt;&gt;1,"",COUNTIF(CI9:CI13,"✗"))</f>
        <v/>
      </c>
      <c r="CJ15" s="463">
        <f>IF(CJ$4&lt;&gt;1,"",COUNTIF(CJ9:CJ13,"✗"))</f>
        <v/>
      </c>
      <c r="CK15" s="463">
        <f>IF(CK$4&lt;&gt;1,"",COUNTIF(CK9:CK13,"✗"))</f>
        <v/>
      </c>
      <c r="CL15" s="463">
        <f>IF(CL$4&lt;&gt;1,"",COUNTIF(CL9:CL13,"✗"))</f>
        <v/>
      </c>
      <c r="CM15" s="463">
        <f>IF(CM$4&lt;&gt;1,"",COUNTIF(CM9:CM13,"✗"))</f>
        <v/>
      </c>
      <c r="CN15" s="463">
        <f>IF(CN$4&lt;&gt;1,"",COUNTIF(CN9:CN13,"✗"))</f>
        <v/>
      </c>
      <c r="CO15" s="463">
        <f>IF(CO$4&lt;&gt;1,"",COUNTIF(CO9:CO13,"✗"))</f>
        <v/>
      </c>
      <c r="CP15" s="463">
        <f>IF(CP$4&lt;&gt;1,"",COUNTIF(CP9:CP13,"✗"))</f>
        <v/>
      </c>
      <c r="CQ15" s="463">
        <f>IF(CQ$4&lt;&gt;1,"",COUNTIF(CQ9:CQ13,"✗"))</f>
        <v/>
      </c>
      <c r="CR15" s="463">
        <f>IF(CR$4&lt;&gt;1,"",COUNTIF(CR9:CR13,"✗"))</f>
        <v/>
      </c>
      <c r="CS15" s="463">
        <f>IF(CS$4&lt;&gt;1,"",COUNTIF(CS9:CS13,"✗"))</f>
        <v/>
      </c>
      <c r="CT15" s="463">
        <f>IF(CT$4&lt;&gt;1,"",COUNTIF(CT9:CT13,"✗"))</f>
        <v/>
      </c>
      <c r="CU15" s="463">
        <f>IF(CU$4&lt;&gt;1,"",COUNTIF(CU9:CU13,"✗"))</f>
        <v/>
      </c>
      <c r="CV15" s="463">
        <f>IF(CV$4&lt;&gt;1,"",COUNTIF(CV9:CV13,"✗"))</f>
        <v/>
      </c>
      <c r="CW15" s="463">
        <f>IF(CW$4&lt;&gt;1,"",COUNTIF(CW9:CW13,"✗"))</f>
        <v/>
      </c>
      <c r="CX15" s="463">
        <f>IF(CX$4&lt;&gt;1,"",COUNTIF(CX9:CX13,"✗"))</f>
        <v/>
      </c>
      <c r="CY15" s="464" t="n"/>
      <c r="CZ15" s="465" t="n"/>
      <c r="DA15" s="466" t="n"/>
      <c r="DB15" s="462">
        <f>IF(DB$4&lt;&gt;1,"",COUNTIF(DB9:DB13,"✗"))</f>
        <v/>
      </c>
      <c r="DC15" s="463">
        <f>IF(DC$4&lt;&gt;1,"",COUNTIF(DC9:DC13,"✗"))</f>
        <v/>
      </c>
      <c r="DD15" s="463">
        <f>IF(DD$4&lt;&gt;1,"",COUNTIF(DD9:DD13,"✗"))</f>
        <v/>
      </c>
      <c r="DE15" s="463">
        <f>IF(DE$4&lt;&gt;1,"",COUNTIF(DE9:DE13,"✗"))</f>
        <v/>
      </c>
      <c r="DF15" s="463">
        <f>IF(DF$4&lt;&gt;1,"",COUNTIF(DF9:DF13,"✗"))</f>
        <v/>
      </c>
      <c r="DG15" s="463">
        <f>IF(DG$4&lt;&gt;1,"",COUNTIF(DG9:DG13,"✗"))</f>
        <v/>
      </c>
      <c r="DH15" s="463">
        <f>IF(DH$4&lt;&gt;1,"",COUNTIF(DH9:DH13,"✗"))</f>
        <v/>
      </c>
      <c r="DI15" s="463">
        <f>IF(DI$4&lt;&gt;1,"",COUNTIF(DI9:DI13,"✗"))</f>
        <v/>
      </c>
      <c r="DJ15" s="463">
        <f>IF(DJ$4&lt;&gt;1,"",COUNTIF(DJ9:DJ13,"✗"))</f>
        <v/>
      </c>
      <c r="DK15" s="463">
        <f>IF(DK$4&lt;&gt;1,"",COUNTIF(DK9:DK13,"✗"))</f>
        <v/>
      </c>
      <c r="DL15" s="463">
        <f>IF(DL$4&lt;&gt;1,"",COUNTIF(DL9:DL13,"✗"))</f>
        <v/>
      </c>
      <c r="DM15" s="463">
        <f>IF(DM$4&lt;&gt;1,"",COUNTIF(DM9:DM13,"✗"))</f>
        <v/>
      </c>
      <c r="DN15" s="463">
        <f>IF(DN$4&lt;&gt;1,"",COUNTIF(DN9:DN13,"✗"))</f>
        <v/>
      </c>
      <c r="DO15" s="463">
        <f>IF(DO$4&lt;&gt;1,"",COUNTIF(DO9:DO13,"✗"))</f>
        <v/>
      </c>
      <c r="DP15" s="463">
        <f>IF(DP$4&lt;&gt;1,"",COUNTIF(DP9:DP13,"✗"))</f>
        <v/>
      </c>
      <c r="DQ15" s="463">
        <f>IF(DQ$4&lt;&gt;1,"",COUNTIF(DQ9:DQ13,"✗"))</f>
        <v/>
      </c>
      <c r="DR15" s="463">
        <f>IF(DR$4&lt;&gt;1,"",COUNTIF(DR9:DR13,"✗"))</f>
        <v/>
      </c>
      <c r="DS15" s="463">
        <f>IF(DS$4&lt;&gt;1,"",COUNTIF(DS9:DS13,"✗"))</f>
        <v/>
      </c>
      <c r="DT15" s="463">
        <f>IF(DT$4&lt;&gt;1,"",COUNTIF(DT9:DT13,"✗"))</f>
        <v/>
      </c>
      <c r="DU15" s="463">
        <f>IF(DU$4&lt;&gt;1,"",COUNTIF(DU9:DU13,"✗"))</f>
        <v/>
      </c>
      <c r="DV15" s="463">
        <f>IF(DV$4&lt;&gt;1,"",COUNTIF(DV9:DV13,"✗"))</f>
        <v/>
      </c>
      <c r="DW15" s="463">
        <f>IF(DW$4&lt;&gt;1,"",COUNTIF(DW9:DW13,"✗"))</f>
        <v/>
      </c>
      <c r="DX15" s="463">
        <f>IF(DX$4&lt;&gt;1,"",COUNTIF(DX9:DX13,"✗"))</f>
        <v/>
      </c>
      <c r="DY15" s="463">
        <f>IF(DY$4&lt;&gt;1,"",COUNTIF(DY9:DY13,"✗"))</f>
        <v/>
      </c>
      <c r="DZ15" s="463">
        <f>IF(DZ$4&lt;&gt;1,"",COUNTIF(DZ9:DZ13,"✗"))</f>
        <v/>
      </c>
      <c r="EA15" s="463">
        <f>IF(EA$4&lt;&gt;1,"",COUNTIF(EA9:EA13,"✗"))</f>
        <v/>
      </c>
      <c r="EB15" s="463">
        <f>IF(EB$4&lt;&gt;1,"",COUNTIF(EB9:EB13,"✗"))</f>
        <v/>
      </c>
      <c r="EC15" s="463">
        <f>IF(EC$4&lt;&gt;1,"",COUNTIF(EC9:EC13,"✗"))</f>
        <v/>
      </c>
      <c r="ED15" s="463">
        <f>IF(ED$4&lt;&gt;1,"",COUNTIF(ED9:ED13,"✗"))</f>
        <v/>
      </c>
      <c r="EE15" s="463">
        <f>IF(EE$4&lt;&gt;1,"",COUNTIF(EE9:EE13,"✗"))</f>
        <v/>
      </c>
      <c r="EF15" s="463">
        <f>IF(EF$4&lt;&gt;1,"",COUNTIF(EF9:EF13,"✗"))</f>
        <v/>
      </c>
      <c r="EG15" s="464" t="n"/>
      <c r="EH15" s="465" t="n"/>
      <c r="EI15" s="466" t="n"/>
      <c r="EJ15" s="462">
        <f>IF(EJ$4&lt;&gt;1,"",COUNTIF(EJ9:EJ13,"✗"))</f>
        <v/>
      </c>
      <c r="EK15" s="463">
        <f>IF(EK$4&lt;&gt;1,"",COUNTIF(EK9:EK13,"✗"))</f>
        <v/>
      </c>
      <c r="EL15" s="463">
        <f>IF(EL$4&lt;&gt;1,"",COUNTIF(EL9:EL13,"✗"))</f>
        <v/>
      </c>
      <c r="EM15" s="463">
        <f>IF(EM$4&lt;&gt;1,"",COUNTIF(EM9:EM13,"✗"))</f>
        <v/>
      </c>
      <c r="EN15" s="463">
        <f>IF(EN$4&lt;&gt;1,"",COUNTIF(EN9:EN13,"✗"))</f>
        <v/>
      </c>
      <c r="EO15" s="463">
        <f>IF(EO$4&lt;&gt;1,"",COUNTIF(EO9:EO13,"✗"))</f>
        <v/>
      </c>
      <c r="EP15" s="463">
        <f>IF(EP$4&lt;&gt;1,"",COUNTIF(EP9:EP13,"✗"))</f>
        <v/>
      </c>
      <c r="EQ15" s="463">
        <f>IF(EQ$4&lt;&gt;1,"",COUNTIF(EQ9:EQ13,"✗"))</f>
        <v/>
      </c>
      <c r="ER15" s="463">
        <f>IF(ER$4&lt;&gt;1,"",COUNTIF(ER9:ER13,"✗"))</f>
        <v/>
      </c>
      <c r="ES15" s="463">
        <f>IF(ES$4&lt;&gt;1,"",COUNTIF(ES9:ES13,"✗"))</f>
        <v/>
      </c>
      <c r="ET15" s="463">
        <f>IF(ET$4&lt;&gt;1,"",COUNTIF(ET9:ET13,"✗"))</f>
        <v/>
      </c>
      <c r="EU15" s="463">
        <f>IF(EU$4&lt;&gt;1,"",COUNTIF(EU9:EU13,"✗"))</f>
        <v/>
      </c>
      <c r="EV15" s="463">
        <f>IF(EV$4&lt;&gt;1,"",COUNTIF(EV9:EV13,"✗"))</f>
        <v/>
      </c>
      <c r="EW15" s="463">
        <f>IF(EW$4&lt;&gt;1,"",COUNTIF(EW9:EW13,"✗"))</f>
        <v/>
      </c>
      <c r="EX15" s="463">
        <f>IF(EX$4&lt;&gt;1,"",COUNTIF(EX9:EX13,"✗"))</f>
        <v/>
      </c>
      <c r="EY15" s="463">
        <f>IF(EY$4&lt;&gt;1,"",COUNTIF(EY9:EY13,"✗"))</f>
        <v/>
      </c>
      <c r="EZ15" s="463">
        <f>IF(EZ$4&lt;&gt;1,"",COUNTIF(EZ9:EZ13,"✗"))</f>
        <v/>
      </c>
      <c r="FA15" s="463">
        <f>IF(FA$4&lt;&gt;1,"",COUNTIF(FA9:FA13,"✗"))</f>
        <v/>
      </c>
      <c r="FB15" s="463">
        <f>IF(FB$4&lt;&gt;1,"",COUNTIF(FB9:FB13,"✗"))</f>
        <v/>
      </c>
      <c r="FC15" s="463">
        <f>IF(FC$4&lt;&gt;1,"",COUNTIF(FC9:FC13,"✗"))</f>
        <v/>
      </c>
      <c r="FD15" s="463">
        <f>IF(FD$4&lt;&gt;1,"",COUNTIF(FD9:FD13,"✗"))</f>
        <v/>
      </c>
      <c r="FE15" s="463">
        <f>IF(FE$4&lt;&gt;1,"",COUNTIF(FE9:FE13,"✗"))</f>
        <v/>
      </c>
      <c r="FF15" s="463">
        <f>IF(FF$4&lt;&gt;1,"",COUNTIF(FF9:FF13,"✗"))</f>
        <v/>
      </c>
      <c r="FG15" s="463">
        <f>IF(FG$4&lt;&gt;1,"",COUNTIF(FG9:FG13,"✗"))</f>
        <v/>
      </c>
      <c r="FH15" s="463">
        <f>IF(FH$4&lt;&gt;1,"",COUNTIF(FH9:FH13,"✗"))</f>
        <v/>
      </c>
      <c r="FI15" s="463">
        <f>IF(FI$4&lt;&gt;1,"",COUNTIF(FI9:FI13,"✗"))</f>
        <v/>
      </c>
      <c r="FJ15" s="463">
        <f>IF(FJ$4&lt;&gt;1,"",COUNTIF(FJ9:FJ13,"✗"))</f>
        <v/>
      </c>
      <c r="FK15" s="463">
        <f>IF(FK$4&lt;&gt;1,"",COUNTIF(FK9:FK13,"✗"))</f>
        <v/>
      </c>
      <c r="FL15" s="463">
        <f>IF(FL$4&lt;&gt;1,"",COUNTIF(FL9:FL13,"✗"))</f>
        <v/>
      </c>
      <c r="FM15" s="463">
        <f>IF(FM$4&lt;&gt;1,"",COUNTIF(FM9:FM13,"✗"))</f>
        <v/>
      </c>
      <c r="FN15" s="463">
        <f>IF(FN$4&lt;&gt;1,"",COUNTIF(FN9:FN13,"✗"))</f>
        <v/>
      </c>
      <c r="FO15" s="464" t="n"/>
      <c r="FP15" s="465" t="n"/>
      <c r="FQ15" s="466" t="n"/>
    </row>
    <row r="16">
      <c r="A16" s="461" t="inlineStr"/>
      <c r="B16" s="184" t="n"/>
      <c r="C16" s="184" t="n"/>
      <c r="D16" s="467" t="n"/>
      <c r="E16" s="206" t="n"/>
      <c r="F16" s="206" t="n"/>
      <c r="G16" s="206" t="n"/>
      <c r="H16" s="206" t="n"/>
      <c r="I16" s="206" t="n"/>
      <c r="J16" s="206" t="n"/>
      <c r="K16" s="206" t="n"/>
      <c r="L16" s="206" t="n"/>
      <c r="M16" s="206" t="n"/>
      <c r="N16" s="206" t="n"/>
      <c r="O16" s="206" t="n"/>
      <c r="P16" s="206" t="n"/>
      <c r="Q16" s="206" t="n"/>
      <c r="R16" s="206" t="n"/>
      <c r="S16" s="206" t="n"/>
      <c r="T16" s="206" t="n"/>
      <c r="U16" s="206" t="n"/>
      <c r="V16" s="206" t="n"/>
      <c r="W16" s="206" t="n"/>
      <c r="X16" s="206" t="n"/>
      <c r="Y16" s="206" t="n"/>
      <c r="Z16" s="206" t="n"/>
      <c r="AA16" s="206" t="n"/>
      <c r="AB16" s="206" t="n"/>
      <c r="AC16" s="206" t="n"/>
      <c r="AD16" s="206" t="n"/>
      <c r="AE16" s="206" t="n"/>
      <c r="AF16" s="206" t="n"/>
      <c r="AG16" s="206" t="n"/>
      <c r="AH16" s="206" t="n"/>
      <c r="AI16" s="464" t="n"/>
      <c r="AJ16" s="465" t="n"/>
      <c r="AK16" s="466" t="n"/>
      <c r="AL16" s="467" t="n"/>
      <c r="AM16" s="206" t="n"/>
      <c r="AN16" s="206" t="n"/>
      <c r="AO16" s="206" t="n"/>
      <c r="AP16" s="206" t="n"/>
      <c r="AQ16" s="206" t="n"/>
      <c r="AR16" s="206" t="n"/>
      <c r="AS16" s="206" t="n"/>
      <c r="AT16" s="206" t="n"/>
      <c r="AU16" s="206" t="n"/>
      <c r="AV16" s="206" t="n"/>
      <c r="AW16" s="206" t="n"/>
      <c r="AX16" s="206" t="n"/>
      <c r="AY16" s="206" t="n"/>
      <c r="AZ16" s="206" t="n"/>
      <c r="BA16" s="206" t="n"/>
      <c r="BB16" s="206" t="n"/>
      <c r="BC16" s="206" t="n"/>
      <c r="BD16" s="206" t="n"/>
      <c r="BE16" s="206" t="n"/>
      <c r="BF16" s="206" t="n"/>
      <c r="BG16" s="206" t="n"/>
      <c r="BH16" s="206" t="n"/>
      <c r="BI16" s="206" t="n"/>
      <c r="BJ16" s="206" t="n"/>
      <c r="BK16" s="206" t="n"/>
      <c r="BL16" s="206" t="n"/>
      <c r="BM16" s="206" t="n"/>
      <c r="BN16" s="206" t="n"/>
      <c r="BO16" s="206" t="n"/>
      <c r="BP16" s="206" t="n"/>
      <c r="BQ16" s="464" t="n"/>
      <c r="BR16" s="465" t="n"/>
      <c r="BS16" s="466" t="n"/>
      <c r="BT16" s="467" t="n"/>
      <c r="BU16" s="206" t="n"/>
      <c r="BV16" s="206" t="n"/>
      <c r="BW16" s="206" t="n"/>
      <c r="BX16" s="206" t="n"/>
      <c r="BY16" s="206" t="n"/>
      <c r="BZ16" s="206" t="n"/>
      <c r="CA16" s="206" t="n"/>
      <c r="CB16" s="206" t="n"/>
      <c r="CC16" s="206" t="n"/>
      <c r="CD16" s="206" t="n"/>
      <c r="CE16" s="206" t="n"/>
      <c r="CF16" s="206" t="n"/>
      <c r="CG16" s="206" t="n"/>
      <c r="CH16" s="206" t="n"/>
      <c r="CI16" s="206" t="n"/>
      <c r="CJ16" s="206" t="n"/>
      <c r="CK16" s="206" t="n"/>
      <c r="CL16" s="206" t="n"/>
      <c r="CM16" s="206" t="n"/>
      <c r="CN16" s="206" t="n"/>
      <c r="CO16" s="206" t="n"/>
      <c r="CP16" s="206" t="n"/>
      <c r="CQ16" s="206" t="n"/>
      <c r="CR16" s="206" t="n"/>
      <c r="CS16" s="206" t="n"/>
      <c r="CT16" s="206" t="n"/>
      <c r="CU16" s="206" t="n"/>
      <c r="CV16" s="206" t="n"/>
      <c r="CW16" s="206" t="n"/>
      <c r="CX16" s="206" t="n"/>
      <c r="CY16" s="464" t="n"/>
      <c r="CZ16" s="465" t="n"/>
      <c r="DA16" s="466" t="n"/>
      <c r="DB16" s="467" t="n"/>
      <c r="DC16" s="206" t="n"/>
      <c r="DD16" s="206" t="n"/>
      <c r="DE16" s="206" t="n"/>
      <c r="DF16" s="206" t="n"/>
      <c r="DG16" s="206" t="n"/>
      <c r="DH16" s="206" t="n"/>
      <c r="DI16" s="206" t="n"/>
      <c r="DJ16" s="206" t="n"/>
      <c r="DK16" s="206" t="n"/>
      <c r="DL16" s="206" t="n"/>
      <c r="DM16" s="206" t="n"/>
      <c r="DN16" s="206" t="n"/>
      <c r="DO16" s="206" t="n"/>
      <c r="DP16" s="206" t="n"/>
      <c r="DQ16" s="206" t="n"/>
      <c r="DR16" s="206" t="n"/>
      <c r="DS16" s="206" t="n"/>
      <c r="DT16" s="206" t="n"/>
      <c r="DU16" s="206" t="n"/>
      <c r="DV16" s="206" t="n"/>
      <c r="DW16" s="206" t="n"/>
      <c r="DX16" s="206" t="n"/>
      <c r="DY16" s="206" t="n"/>
      <c r="DZ16" s="206" t="n"/>
      <c r="EA16" s="206" t="n"/>
      <c r="EB16" s="206" t="n"/>
      <c r="EC16" s="206" t="n"/>
      <c r="ED16" s="206" t="n"/>
      <c r="EE16" s="206" t="n"/>
      <c r="EF16" s="206" t="n"/>
      <c r="EG16" s="464" t="n"/>
      <c r="EH16" s="465" t="n"/>
      <c r="EI16" s="466" t="n"/>
      <c r="EJ16" s="467" t="n"/>
      <c r="EK16" s="206" t="n"/>
      <c r="EL16" s="206" t="n"/>
      <c r="EM16" s="206" t="n"/>
      <c r="EN16" s="206" t="n"/>
      <c r="EO16" s="206" t="n"/>
      <c r="EP16" s="206" t="n"/>
      <c r="EQ16" s="206" t="n"/>
      <c r="ER16" s="206" t="n"/>
      <c r="ES16" s="206" t="n"/>
      <c r="ET16" s="206" t="n"/>
      <c r="EU16" s="206" t="n"/>
      <c r="EV16" s="206" t="n"/>
      <c r="EW16" s="206" t="n"/>
      <c r="EX16" s="206" t="n"/>
      <c r="EY16" s="206" t="n"/>
      <c r="EZ16" s="206" t="n"/>
      <c r="FA16" s="206" t="n"/>
      <c r="FB16" s="206" t="n"/>
      <c r="FC16" s="206" t="n"/>
      <c r="FD16" s="206" t="n"/>
      <c r="FE16" s="206" t="n"/>
      <c r="FF16" s="206" t="n"/>
      <c r="FG16" s="206" t="n"/>
      <c r="FH16" s="206" t="n"/>
      <c r="FI16" s="206" t="n"/>
      <c r="FJ16" s="206" t="n"/>
      <c r="FK16" s="206" t="n"/>
      <c r="FL16" s="206" t="n"/>
      <c r="FM16" s="206" t="n"/>
      <c r="FN16" s="206" t="n"/>
      <c r="FO16" s="464" t="n"/>
      <c r="FP16" s="465" t="n"/>
      <c r="FQ16" s="466" t="n"/>
    </row>
    <row r="17">
      <c r="A17" s="461" t="inlineStr"/>
      <c r="B17" s="184" t="n"/>
      <c r="C17" s="184" t="n"/>
      <c r="D17" s="467" t="n"/>
      <c r="E17" s="206" t="n"/>
      <c r="F17" s="206" t="n"/>
      <c r="G17" s="206" t="n"/>
      <c r="H17" s="206" t="n"/>
      <c r="I17" s="206" t="n"/>
      <c r="J17" s="206" t="n"/>
      <c r="K17" s="206" t="n"/>
      <c r="L17" s="206" t="n"/>
      <c r="M17" s="206" t="n"/>
      <c r="N17" s="206" t="n"/>
      <c r="O17" s="206" t="n"/>
      <c r="P17" s="206" t="n"/>
      <c r="Q17" s="206" t="n"/>
      <c r="R17" s="206" t="n"/>
      <c r="S17" s="206" t="n"/>
      <c r="T17" s="206" t="n"/>
      <c r="U17" s="206" t="n"/>
      <c r="V17" s="206" t="n"/>
      <c r="W17" s="206" t="n"/>
      <c r="X17" s="206" t="n"/>
      <c r="Y17" s="206" t="n"/>
      <c r="Z17" s="206" t="n"/>
      <c r="AA17" s="206" t="n"/>
      <c r="AB17" s="206" t="n"/>
      <c r="AC17" s="206" t="n"/>
      <c r="AD17" s="206" t="n"/>
      <c r="AE17" s="206" t="n"/>
      <c r="AF17" s="206" t="n"/>
      <c r="AG17" s="206" t="n"/>
      <c r="AH17" s="206" t="n"/>
      <c r="AI17" s="464" t="n"/>
      <c r="AJ17" s="465" t="n"/>
      <c r="AK17" s="466" t="n"/>
      <c r="AL17" s="467" t="n"/>
      <c r="AM17" s="206" t="n"/>
      <c r="AN17" s="206" t="n"/>
      <c r="AO17" s="206" t="n"/>
      <c r="AP17" s="206" t="n"/>
      <c r="AQ17" s="206" t="n"/>
      <c r="AR17" s="206" t="n"/>
      <c r="AS17" s="206" t="n"/>
      <c r="AT17" s="206" t="n"/>
      <c r="AU17" s="206" t="n"/>
      <c r="AV17" s="206" t="n"/>
      <c r="AW17" s="206" t="n"/>
      <c r="AX17" s="206" t="n"/>
      <c r="AY17" s="206" t="n"/>
      <c r="AZ17" s="206" t="n"/>
      <c r="BA17" s="206" t="n"/>
      <c r="BB17" s="206" t="n"/>
      <c r="BC17" s="206" t="n"/>
      <c r="BD17" s="206" t="n"/>
      <c r="BE17" s="206" t="n"/>
      <c r="BF17" s="206" t="n"/>
      <c r="BG17" s="206" t="n"/>
      <c r="BH17" s="206" t="n"/>
      <c r="BI17" s="206" t="n"/>
      <c r="BJ17" s="206" t="n"/>
      <c r="BK17" s="206" t="n"/>
      <c r="BL17" s="206" t="n"/>
      <c r="BM17" s="206" t="n"/>
      <c r="BN17" s="206" t="n"/>
      <c r="BO17" s="206" t="n"/>
      <c r="BP17" s="206" t="n"/>
      <c r="BQ17" s="464" t="n"/>
      <c r="BR17" s="465" t="n"/>
      <c r="BS17" s="466" t="n"/>
      <c r="BT17" s="467" t="n"/>
      <c r="BU17" s="206" t="n"/>
      <c r="BV17" s="206" t="n"/>
      <c r="BW17" s="206" t="n"/>
      <c r="BX17" s="206" t="n"/>
      <c r="BY17" s="206" t="n"/>
      <c r="BZ17" s="206" t="n"/>
      <c r="CA17" s="206" t="n"/>
      <c r="CB17" s="206" t="n"/>
      <c r="CC17" s="206" t="n"/>
      <c r="CD17" s="206" t="n"/>
      <c r="CE17" s="206" t="n"/>
      <c r="CF17" s="206" t="n"/>
      <c r="CG17" s="206" t="n"/>
      <c r="CH17" s="206" t="n"/>
      <c r="CI17" s="206" t="n"/>
      <c r="CJ17" s="206" t="n"/>
      <c r="CK17" s="206" t="n"/>
      <c r="CL17" s="206" t="n"/>
      <c r="CM17" s="206" t="n"/>
      <c r="CN17" s="206" t="n"/>
      <c r="CO17" s="206" t="n"/>
      <c r="CP17" s="206" t="n"/>
      <c r="CQ17" s="206" t="n"/>
      <c r="CR17" s="206" t="n"/>
      <c r="CS17" s="206" t="n"/>
      <c r="CT17" s="206" t="n"/>
      <c r="CU17" s="206" t="n"/>
      <c r="CV17" s="206" t="n"/>
      <c r="CW17" s="206" t="n"/>
      <c r="CX17" s="206" t="n"/>
      <c r="CY17" s="464" t="n"/>
      <c r="CZ17" s="465" t="n"/>
      <c r="DA17" s="466" t="n"/>
      <c r="DB17" s="467" t="n"/>
      <c r="DC17" s="206" t="n"/>
      <c r="DD17" s="206" t="n"/>
      <c r="DE17" s="206" t="n"/>
      <c r="DF17" s="206" t="n"/>
      <c r="DG17" s="206" t="n"/>
      <c r="DH17" s="206" t="n"/>
      <c r="DI17" s="206" t="n"/>
      <c r="DJ17" s="206" t="n"/>
      <c r="DK17" s="206" t="n"/>
      <c r="DL17" s="206" t="n"/>
      <c r="DM17" s="206" t="n"/>
      <c r="DN17" s="206" t="n"/>
      <c r="DO17" s="206" t="n"/>
      <c r="DP17" s="206" t="n"/>
      <c r="DQ17" s="206" t="n"/>
      <c r="DR17" s="206" t="n"/>
      <c r="DS17" s="206" t="n"/>
      <c r="DT17" s="206" t="n"/>
      <c r="DU17" s="206" t="n"/>
      <c r="DV17" s="206" t="n"/>
      <c r="DW17" s="206" t="n"/>
      <c r="DX17" s="206" t="n"/>
      <c r="DY17" s="206" t="n"/>
      <c r="DZ17" s="206" t="n"/>
      <c r="EA17" s="206" t="n"/>
      <c r="EB17" s="206" t="n"/>
      <c r="EC17" s="206" t="n"/>
      <c r="ED17" s="206" t="n"/>
      <c r="EE17" s="206" t="n"/>
      <c r="EF17" s="206" t="n"/>
      <c r="EG17" s="464" t="n"/>
      <c r="EH17" s="465" t="n"/>
      <c r="EI17" s="466" t="n"/>
      <c r="EJ17" s="467" t="n"/>
      <c r="EK17" s="206" t="n"/>
      <c r="EL17" s="206" t="n"/>
      <c r="EM17" s="206" t="n"/>
      <c r="EN17" s="206" t="n"/>
      <c r="EO17" s="206" t="n"/>
      <c r="EP17" s="206" t="n"/>
      <c r="EQ17" s="206" t="n"/>
      <c r="ER17" s="206" t="n"/>
      <c r="ES17" s="206" t="n"/>
      <c r="ET17" s="206" t="n"/>
      <c r="EU17" s="206" t="n"/>
      <c r="EV17" s="206" t="n"/>
      <c r="EW17" s="206" t="n"/>
      <c r="EX17" s="206" t="n"/>
      <c r="EY17" s="206" t="n"/>
      <c r="EZ17" s="206" t="n"/>
      <c r="FA17" s="206" t="n"/>
      <c r="FB17" s="206" t="n"/>
      <c r="FC17" s="206" t="n"/>
      <c r="FD17" s="206" t="n"/>
      <c r="FE17" s="206" t="n"/>
      <c r="FF17" s="206" t="n"/>
      <c r="FG17" s="206" t="n"/>
      <c r="FH17" s="206" t="n"/>
      <c r="FI17" s="206" t="n"/>
      <c r="FJ17" s="206" t="n"/>
      <c r="FK17" s="206" t="n"/>
      <c r="FL17" s="206" t="n"/>
      <c r="FM17" s="206" t="n"/>
      <c r="FN17" s="206" t="n"/>
      <c r="FO17" s="464" t="n"/>
      <c r="FP17" s="465" t="n"/>
      <c r="FQ17" s="46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tabColor rgb="0064CDDD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468" t="inlineStr">
        <is>
          <t>🏠</t>
        </is>
      </c>
      <c r="B1" s="469" t="n"/>
      <c r="C1" s="469" t="n"/>
      <c r="D1" s="469" t="n"/>
      <c r="E1" s="469" t="n"/>
      <c r="F1" s="469" t="n"/>
      <c r="G1" s="469" t="n"/>
      <c r="H1" s="469" t="n"/>
      <c r="I1" s="469" t="n"/>
      <c r="J1" s="469" t="n"/>
      <c r="K1" s="469" t="n"/>
      <c r="L1" s="469" t="n"/>
      <c r="M1" s="469" t="n"/>
      <c r="N1" s="469" t="n"/>
      <c r="O1" s="469" t="n"/>
      <c r="P1" s="469" t="n"/>
      <c r="Q1" s="469" t="n"/>
      <c r="R1" s="469" t="n"/>
      <c r="S1" s="469" t="n"/>
      <c r="T1" s="469" t="n"/>
      <c r="U1" s="469" t="n"/>
      <c r="V1" s="469" t="n"/>
      <c r="W1" s="469" t="n"/>
      <c r="X1" s="469" t="n"/>
      <c r="Y1" s="469" t="n"/>
      <c r="Z1" s="469" t="n"/>
      <c r="AA1" s="469" t="n"/>
      <c r="AB1" s="469" t="n"/>
      <c r="AC1" s="469" t="n"/>
      <c r="AD1" s="469" t="n"/>
      <c r="AE1" s="469" t="n"/>
      <c r="AF1" s="469" t="n"/>
      <c r="AG1" s="469" t="n"/>
      <c r="AH1" s="469" t="n"/>
      <c r="AI1" s="469" t="n"/>
      <c r="AJ1" s="469" t="n"/>
      <c r="AK1" s="469" t="n"/>
      <c r="AL1" s="469" t="n"/>
      <c r="AM1" s="469" t="n"/>
      <c r="AN1" s="469" t="n"/>
      <c r="AO1" s="469" t="n"/>
      <c r="AP1" s="469" t="n"/>
      <c r="AQ1" s="469" t="n"/>
      <c r="AR1" s="469" t="n"/>
      <c r="AS1" s="469" t="n"/>
      <c r="AT1" s="469" t="n"/>
      <c r="AU1" s="469" t="n"/>
      <c r="AV1" s="469" t="n"/>
      <c r="AW1" s="469" t="n"/>
      <c r="AX1" s="469" t="n"/>
      <c r="AY1" s="469" t="n"/>
      <c r="AZ1" s="469" t="n"/>
      <c r="BA1" s="469" t="n"/>
      <c r="BB1" s="469" t="n"/>
      <c r="BC1" s="469" t="n"/>
      <c r="BD1" s="469" t="n"/>
      <c r="BE1" s="469" t="n"/>
      <c r="BF1" s="469" t="n"/>
      <c r="BG1" s="469" t="n"/>
      <c r="BH1" s="469" t="n"/>
      <c r="BI1" s="469" t="n"/>
      <c r="BJ1" s="469" t="n"/>
      <c r="BK1" s="469" t="n"/>
      <c r="BL1" s="469" t="n"/>
      <c r="BM1" s="469" t="n"/>
      <c r="BN1" s="469" t="n"/>
      <c r="BO1" s="469" t="n"/>
      <c r="BP1" s="469" t="n"/>
      <c r="BQ1" s="469" t="n"/>
      <c r="BR1" s="469" t="n"/>
      <c r="BS1" s="469" t="n"/>
      <c r="BT1" s="469" t="n"/>
      <c r="BU1" s="469" t="n"/>
      <c r="BV1" s="469" t="n"/>
      <c r="BW1" s="469" t="n"/>
      <c r="BX1" s="469" t="n"/>
      <c r="BY1" s="469" t="n"/>
      <c r="BZ1" s="469" t="n"/>
      <c r="CA1" s="469" t="n"/>
      <c r="CB1" s="469" t="n"/>
      <c r="CC1" s="469" t="n"/>
      <c r="CD1" s="469" t="n"/>
      <c r="CE1" s="469" t="n"/>
      <c r="CF1" s="469" t="n"/>
      <c r="CG1" s="469" t="n"/>
      <c r="CH1" s="469" t="n"/>
      <c r="CI1" s="469" t="n"/>
      <c r="CJ1" s="469" t="n"/>
      <c r="CK1" s="469" t="n"/>
      <c r="CL1" s="469" t="n"/>
      <c r="CM1" s="469" t="n"/>
      <c r="CN1" s="469" t="n"/>
      <c r="CO1" s="469" t="n"/>
      <c r="CP1" s="469" t="n"/>
      <c r="CQ1" s="469" t="n"/>
      <c r="CR1" s="469" t="n"/>
      <c r="CS1" s="469" t="n"/>
      <c r="CT1" s="469" t="n"/>
      <c r="CU1" s="469" t="n"/>
      <c r="CV1" s="469" t="n"/>
      <c r="CW1" s="469" t="n"/>
      <c r="CX1" s="469" t="n"/>
      <c r="CY1" s="469" t="n"/>
      <c r="CZ1" s="469" t="n"/>
      <c r="DA1" s="469" t="n"/>
      <c r="DB1" s="469" t="n"/>
      <c r="DC1" s="469" t="n"/>
      <c r="DD1" s="469" t="n"/>
      <c r="DE1" s="469" t="n"/>
      <c r="DF1" s="469" t="n"/>
      <c r="DG1" s="469" t="n"/>
      <c r="DH1" s="469" t="n"/>
      <c r="DI1" s="469" t="n"/>
      <c r="DJ1" s="469" t="n"/>
      <c r="DK1" s="469" t="n"/>
      <c r="DL1" s="469" t="n"/>
      <c r="DM1" s="469" t="n"/>
      <c r="DN1" s="469" t="n"/>
      <c r="DO1" s="469" t="n"/>
      <c r="DP1" s="469" t="n"/>
      <c r="DQ1" s="469" t="n"/>
      <c r="DR1" s="469" t="n"/>
      <c r="DS1" s="469" t="n"/>
      <c r="DT1" s="469" t="n"/>
      <c r="DU1" s="469" t="n"/>
      <c r="DV1" s="469" t="n"/>
      <c r="DW1" s="469" t="n"/>
      <c r="DX1" s="469" t="n"/>
      <c r="DY1" s="469" t="n"/>
      <c r="DZ1" s="469" t="n"/>
      <c r="EA1" s="469" t="n"/>
      <c r="EB1" s="469" t="n"/>
      <c r="EC1" s="469" t="n"/>
      <c r="ED1" s="469" t="n"/>
      <c r="EE1" s="469" t="n"/>
      <c r="EF1" s="469" t="n"/>
      <c r="EG1" s="469" t="n"/>
      <c r="EH1" s="469" t="n"/>
      <c r="EI1" s="469" t="n"/>
      <c r="EJ1" s="469" t="n"/>
      <c r="EK1" s="469" t="n"/>
      <c r="EL1" s="469" t="n"/>
      <c r="EM1" s="469" t="n"/>
      <c r="EN1" s="469" t="n"/>
      <c r="EO1" s="469" t="n"/>
      <c r="EP1" s="469" t="n"/>
      <c r="EQ1" s="469" t="n"/>
      <c r="ER1" s="469" t="n"/>
      <c r="ES1" s="469" t="n"/>
      <c r="ET1" s="469" t="n"/>
      <c r="EU1" s="469" t="n"/>
      <c r="EV1" s="469" t="n"/>
      <c r="EW1" s="469" t="n"/>
      <c r="EX1" s="469" t="n"/>
      <c r="EY1" s="469" t="n"/>
      <c r="EZ1" s="469" t="n"/>
      <c r="FA1" s="469" t="n"/>
      <c r="FB1" s="469" t="n"/>
      <c r="FC1" s="469" t="n"/>
      <c r="FD1" s="469" t="n"/>
      <c r="FE1" s="469" t="n"/>
      <c r="FF1" s="469" t="n"/>
      <c r="FG1" s="469" t="n"/>
      <c r="FH1" s="469" t="n"/>
      <c r="FI1" s="469" t="n"/>
      <c r="FJ1" s="469" t="n"/>
      <c r="FK1" s="469" t="n"/>
      <c r="FL1" s="469" t="n"/>
      <c r="FM1" s="469" t="n"/>
      <c r="FN1" s="469" t="n"/>
      <c r="FO1" s="469" t="n"/>
      <c r="FP1" s="469" t="n"/>
      <c r="FQ1" s="469" t="n"/>
      <c r="FR1" s="469" t="n"/>
      <c r="FS1" s="469" t="n"/>
      <c r="FT1" s="469" t="n"/>
      <c r="FU1" s="469" t="n"/>
      <c r="FV1" s="469" t="n"/>
      <c r="FW1" s="469" t="n"/>
      <c r="FX1" s="469" t="n"/>
      <c r="FY1" s="469" t="n"/>
      <c r="FZ1" s="469" t="n"/>
      <c r="GA1" s="469" t="n"/>
      <c r="GB1" s="469" t="n"/>
      <c r="GC1" s="469" t="n"/>
      <c r="GD1" s="469" t="n"/>
      <c r="GE1" s="469" t="n"/>
      <c r="GF1" s="469" t="n"/>
      <c r="GG1" s="469" t="n"/>
      <c r="GH1" s="469" t="n"/>
      <c r="GI1" s="469" t="n"/>
      <c r="GJ1" s="469" t="n"/>
      <c r="GK1" s="469" t="n"/>
      <c r="GL1" s="469" t="n"/>
      <c r="GM1" s="469" t="n"/>
      <c r="GN1" s="469" t="n"/>
      <c r="GO1" s="469" t="n"/>
      <c r="GP1" s="469" t="n"/>
      <c r="GQ1" s="469" t="n"/>
      <c r="GR1" s="469" t="n"/>
      <c r="GS1" s="469" t="n"/>
      <c r="GT1" s="469" t="n"/>
      <c r="GU1" s="469" t="n"/>
      <c r="GV1" s="469" t="n"/>
      <c r="GW1" s="469" t="n"/>
      <c r="GX1" s="469" t="n"/>
      <c r="GY1" s="469" t="n"/>
    </row>
    <row r="2" ht="20" customHeight="1">
      <c r="A2" s="470" t="inlineStr">
        <is>
          <t>หน้าหลัก</t>
        </is>
      </c>
      <c r="B2" s="47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472" t="n"/>
      <c r="D2" s="472" t="n"/>
      <c r="E2" s="472" t="n"/>
      <c r="F2" s="472" t="n"/>
      <c r="G2" s="472" t="n"/>
      <c r="H2" s="472" t="n"/>
      <c r="I2" s="472" t="n"/>
      <c r="J2" s="472" t="n"/>
      <c r="K2" s="472" t="n"/>
      <c r="L2" s="472" t="n"/>
      <c r="M2" s="472" t="n"/>
      <c r="N2" s="472" t="n"/>
      <c r="O2" s="472" t="n"/>
      <c r="P2" s="472" t="n"/>
      <c r="Q2" s="472" t="n"/>
      <c r="R2" s="472" t="n"/>
      <c r="S2" s="472" t="n"/>
      <c r="T2" s="472" t="n"/>
      <c r="U2" s="472" t="n"/>
      <c r="V2" s="472" t="n"/>
      <c r="W2" s="472" t="n"/>
      <c r="X2" s="472" t="n"/>
      <c r="Y2" s="472" t="n"/>
      <c r="Z2" s="472" t="n"/>
      <c r="AA2" s="472" t="n"/>
      <c r="AB2" s="472" t="n"/>
      <c r="AC2" s="472" t="n"/>
      <c r="AD2" s="472" t="n"/>
      <c r="AE2" s="472" t="n"/>
      <c r="AF2" s="472" t="n"/>
      <c r="AG2" s="472" t="n"/>
      <c r="AH2" s="472" t="n"/>
      <c r="AI2" s="472" t="n"/>
      <c r="AJ2" s="472" t="n"/>
      <c r="AK2" s="472" t="n"/>
      <c r="AL2" s="472" t="n"/>
      <c r="AM2" s="472" t="n"/>
      <c r="AN2" s="472" t="n"/>
      <c r="AO2" s="472" t="n"/>
      <c r="AP2" s="472" t="n"/>
      <c r="AQ2" s="472" t="n"/>
      <c r="AR2" s="472" t="n"/>
      <c r="AS2" s="472" t="n"/>
      <c r="AT2" s="472" t="n"/>
      <c r="AU2" s="472" t="n"/>
      <c r="AV2" s="472" t="n"/>
      <c r="AW2" s="472" t="n"/>
      <c r="AX2" s="472" t="n"/>
      <c r="AY2" s="472" t="n"/>
      <c r="AZ2" s="472" t="n"/>
      <c r="BA2" s="472" t="n"/>
      <c r="BB2" s="472" t="n"/>
      <c r="BC2" s="472" t="n"/>
      <c r="BD2" s="472" t="n"/>
      <c r="BE2" s="472" t="n"/>
      <c r="BF2" s="472" t="n"/>
      <c r="BG2" s="472" t="n"/>
      <c r="BH2" s="472" t="n"/>
      <c r="BI2" s="472" t="n"/>
      <c r="BJ2" s="472" t="n"/>
      <c r="BK2" s="472" t="n"/>
      <c r="BL2" s="472" t="n"/>
      <c r="BM2" s="472" t="n"/>
      <c r="BN2" s="472" t="n"/>
      <c r="BO2" s="472" t="n"/>
      <c r="BP2" s="472" t="n"/>
      <c r="BQ2" s="472" t="n"/>
      <c r="BR2" s="472" t="n"/>
      <c r="BS2" s="472" t="n"/>
      <c r="BT2" s="472" t="n"/>
      <c r="BU2" s="472" t="n"/>
      <c r="BV2" s="472" t="n"/>
      <c r="BW2" s="472" t="n"/>
      <c r="BX2" s="472" t="n"/>
      <c r="BY2" s="472" t="n"/>
      <c r="BZ2" s="472" t="n"/>
      <c r="CA2" s="472" t="n"/>
      <c r="CB2" s="472" t="n"/>
      <c r="CC2" s="472" t="n"/>
      <c r="CD2" s="472" t="n"/>
      <c r="CE2" s="472" t="n"/>
      <c r="CF2" s="472" t="n"/>
      <c r="CG2" s="472" t="n"/>
      <c r="CH2" s="472" t="n"/>
      <c r="CI2" s="472" t="n"/>
      <c r="CJ2" s="472" t="n"/>
      <c r="CK2" s="472" t="n"/>
      <c r="CL2" s="472" t="n"/>
      <c r="CM2" s="472" t="n"/>
      <c r="CN2" s="472" t="n"/>
      <c r="CO2" s="472" t="n"/>
      <c r="CP2" s="472" t="n"/>
      <c r="CQ2" s="472" t="n"/>
      <c r="CR2" s="472" t="n"/>
      <c r="CS2" s="472" t="n"/>
      <c r="CT2" s="472" t="n"/>
      <c r="CU2" s="472" t="n"/>
      <c r="CV2" s="472" t="n"/>
      <c r="CW2" s="472" t="n"/>
      <c r="CX2" s="472" t="n"/>
      <c r="CY2" s="472" t="n"/>
      <c r="CZ2" s="472" t="n"/>
      <c r="DA2" s="472" t="n"/>
      <c r="DB2" s="472" t="n"/>
      <c r="DC2" s="472" t="n"/>
      <c r="DD2" s="472" t="n"/>
      <c r="DE2" s="472" t="n"/>
      <c r="DF2" s="472" t="n"/>
      <c r="DG2" s="472" t="n"/>
      <c r="DH2" s="472" t="n"/>
      <c r="DI2" s="472" t="n"/>
      <c r="DJ2" s="472" t="n"/>
      <c r="DK2" s="472" t="n"/>
      <c r="DL2" s="472" t="n"/>
      <c r="DM2" s="472" t="n"/>
      <c r="DN2" s="472" t="n"/>
      <c r="DO2" s="472" t="n"/>
      <c r="DP2" s="472" t="n"/>
      <c r="DQ2" s="472" t="n"/>
      <c r="DR2" s="472" t="n"/>
      <c r="DS2" s="472" t="n"/>
      <c r="DT2" s="472" t="n"/>
      <c r="DU2" s="472" t="n"/>
      <c r="DV2" s="472" t="n"/>
      <c r="DW2" s="472" t="n"/>
      <c r="DX2" s="472" t="n"/>
      <c r="DY2" s="472" t="n"/>
      <c r="DZ2" s="472" t="n"/>
      <c r="EA2" s="472" t="n"/>
      <c r="EB2" s="472" t="n"/>
      <c r="EC2" s="472" t="n"/>
      <c r="ED2" s="472" t="n"/>
      <c r="EE2" s="472" t="n"/>
      <c r="EF2" s="472" t="n"/>
      <c r="EG2" s="472" t="n"/>
      <c r="EH2" s="472" t="n"/>
      <c r="EI2" s="472" t="n"/>
      <c r="EJ2" s="472" t="n"/>
      <c r="EK2" s="472" t="n"/>
      <c r="EL2" s="472" t="n"/>
      <c r="EM2" s="472" t="n"/>
      <c r="EN2" s="472" t="n"/>
      <c r="EO2" s="472" t="n"/>
      <c r="EP2" s="472" t="n"/>
      <c r="EQ2" s="472" t="n"/>
      <c r="ER2" s="472" t="n"/>
      <c r="ES2" s="472" t="n"/>
      <c r="ET2" s="472" t="n"/>
      <c r="EU2" s="472" t="n"/>
      <c r="EV2" s="472" t="n"/>
      <c r="EW2" s="472" t="n"/>
      <c r="EX2" s="472" t="n"/>
      <c r="EY2" s="472" t="n"/>
      <c r="EZ2" s="472" t="n"/>
      <c r="FA2" s="472" t="n"/>
      <c r="FB2" s="472" t="n"/>
      <c r="FC2" s="472" t="n"/>
      <c r="FD2" s="472" t="n"/>
      <c r="FE2" s="472" t="n"/>
      <c r="FF2" s="472" t="n"/>
      <c r="FG2" s="472" t="n"/>
      <c r="FH2" s="472" t="n"/>
      <c r="FI2" s="472" t="n"/>
      <c r="FJ2" s="472" t="n"/>
      <c r="FK2" s="472" t="n"/>
      <c r="FL2" s="472" t="n"/>
      <c r="FM2" s="472" t="n"/>
      <c r="FN2" s="472" t="n"/>
      <c r="FO2" s="472" t="n"/>
      <c r="FP2" s="472" t="n"/>
      <c r="FQ2" s="472" t="n"/>
      <c r="FR2" s="472" t="n"/>
      <c r="FS2" s="472" t="n"/>
      <c r="FT2" s="472" t="n"/>
      <c r="FU2" s="472" t="n"/>
      <c r="FV2" s="472" t="n"/>
      <c r="FW2" s="472" t="n"/>
      <c r="FX2" s="472" t="n"/>
      <c r="FY2" s="472" t="n"/>
      <c r="FZ2" s="472" t="n"/>
      <c r="GA2" s="472" t="n"/>
      <c r="GB2" s="472" t="n"/>
      <c r="GC2" s="472" t="n"/>
      <c r="GD2" s="472" t="n"/>
      <c r="GE2" s="472" t="n"/>
      <c r="GF2" s="472" t="n"/>
      <c r="GG2" s="472" t="n"/>
      <c r="GH2" s="472" t="n"/>
      <c r="GI2" s="472" t="n"/>
      <c r="GJ2" s="472" t="n"/>
      <c r="GK2" s="472" t="n"/>
      <c r="GL2" s="472" t="n"/>
      <c r="GM2" s="472" t="n"/>
      <c r="GN2" s="472" t="n"/>
      <c r="GO2" s="472" t="n"/>
      <c r="GP2" s="472" t="n"/>
      <c r="GQ2" s="472" t="n"/>
      <c r="GR2" s="472" t="n"/>
      <c r="GS2" s="472" t="n"/>
      <c r="GT2" s="472" t="n"/>
      <c r="GU2" s="472" t="n"/>
      <c r="GV2" s="472" t="n"/>
      <c r="GW2" s="472" t="n"/>
      <c r="GX2" s="472" t="n"/>
      <c r="GY2" s="472" t="n"/>
    </row>
    <row r="3" ht="18" customHeight="1">
      <c r="B3" s="213" t="inlineStr">
        <is>
          <t>✓ = แปรงฟัน     ✗ = ไม่แปรง      •   ช่องสีเทา = นักเรียนไม่มาเรียน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214" t="inlineStr">
        <is>
          <t>เลขที่</t>
        </is>
      </c>
      <c r="B5" s="214" t="inlineStr">
        <is>
          <t>ชื่อ - สกุล</t>
        </is>
      </c>
      <c r="C5" s="473" t="inlineStr">
        <is>
          <t>ร้อยละ
ทั้งภาค</t>
        </is>
      </c>
      <c r="D5" s="474">
        <f>"เดือนพฤษภาคม  พ.ศ. "&amp;('ข้อมูลโรงเรียน'!$C$12-543+543)</f>
        <v/>
      </c>
      <c r="AI5" s="475" t="inlineStr">
        <is>
          <t>สรุป พ.ค.</t>
        </is>
      </c>
      <c r="AL5" s="474">
        <f>"เดือนมิถุนายน  พ.ศ. "&amp;('ข้อมูลโรงเรียน'!$C$12-543+543)</f>
        <v/>
      </c>
      <c r="BQ5" s="475" t="inlineStr">
        <is>
          <t>สรุป มิ.ย.</t>
        </is>
      </c>
      <c r="BT5" s="474">
        <f>"เดือนกรกฎาคม  พ.ศ. "&amp;('ข้อมูลโรงเรียน'!$C$12-543+543)</f>
        <v/>
      </c>
      <c r="CY5" s="475" t="inlineStr">
        <is>
          <t>สรุป ก.ค.</t>
        </is>
      </c>
      <c r="DB5" s="474">
        <f>"เดือนสิงหาคม  พ.ศ. "&amp;('ข้อมูลโรงเรียน'!$C$12-543+543)</f>
        <v/>
      </c>
      <c r="EG5" s="475" t="inlineStr">
        <is>
          <t>สรุป ส.ค.</t>
        </is>
      </c>
      <c r="EJ5" s="474">
        <f>"เดือนกันยายน  พ.ศ. "&amp;('ข้อมูลโรงเรียน'!$C$12-543+543)</f>
        <v/>
      </c>
      <c r="FO5" s="475" t="inlineStr">
        <is>
          <t>สรุป ก.ย.</t>
        </is>
      </c>
      <c r="FR5" s="474">
        <f>"เดือนตุลาคม  พ.ศ. "&amp;('ข้อมูลโรงเรียน'!$C$12-543+543)</f>
        <v/>
      </c>
      <c r="GW5" s="475" t="inlineStr">
        <is>
          <t>สรุป ต.ค.</t>
        </is>
      </c>
    </row>
    <row r="6">
      <c r="D6" s="476">
        <f>IF('ปฏิทิน'!D1="","",DAY('ปฏิทิน'!D1))</f>
        <v/>
      </c>
      <c r="E6" s="473">
        <f>IF('ปฏิทิน'!E1="","",DAY('ปฏิทิน'!E1))</f>
        <v/>
      </c>
      <c r="F6" s="473">
        <f>IF('ปฏิทิน'!F1="","",DAY('ปฏิทิน'!F1))</f>
        <v/>
      </c>
      <c r="G6" s="473">
        <f>IF('ปฏิทิน'!G1="","",DAY('ปฏิทิน'!G1))</f>
        <v/>
      </c>
      <c r="H6" s="473">
        <f>IF('ปฏิทิน'!H1="","",DAY('ปฏิทิน'!H1))</f>
        <v/>
      </c>
      <c r="I6" s="473">
        <f>IF('ปฏิทิน'!I1="","",DAY('ปฏิทิน'!I1))</f>
        <v/>
      </c>
      <c r="J6" s="473">
        <f>IF('ปฏิทิน'!J1="","",DAY('ปฏิทิน'!J1))</f>
        <v/>
      </c>
      <c r="K6" s="473">
        <f>IF('ปฏิทิน'!K1="","",DAY('ปฏิทิน'!K1))</f>
        <v/>
      </c>
      <c r="L6" s="473">
        <f>IF('ปฏิทิน'!L1="","",DAY('ปฏิทิน'!L1))</f>
        <v/>
      </c>
      <c r="M6" s="473">
        <f>IF('ปฏิทิน'!M1="","",DAY('ปฏิทิน'!M1))</f>
        <v/>
      </c>
      <c r="N6" s="473">
        <f>IF('ปฏิทิน'!N1="","",DAY('ปฏิทิน'!N1))</f>
        <v/>
      </c>
      <c r="O6" s="473">
        <f>IF('ปฏิทิน'!O1="","",DAY('ปฏิทิน'!O1))</f>
        <v/>
      </c>
      <c r="P6" s="473">
        <f>IF('ปฏิทิน'!P1="","",DAY('ปฏิทิน'!P1))</f>
        <v/>
      </c>
      <c r="Q6" s="473">
        <f>IF('ปฏิทิน'!Q1="","",DAY('ปฏิทิน'!Q1))</f>
        <v/>
      </c>
      <c r="R6" s="473">
        <f>IF('ปฏิทิน'!R1="","",DAY('ปฏิทิน'!R1))</f>
        <v/>
      </c>
      <c r="S6" s="473">
        <f>IF('ปฏิทิน'!S1="","",DAY('ปฏิทิน'!S1))</f>
        <v/>
      </c>
      <c r="T6" s="473">
        <f>IF('ปฏิทิน'!T1="","",DAY('ปฏิทิน'!T1))</f>
        <v/>
      </c>
      <c r="U6" s="473">
        <f>IF('ปฏิทิน'!U1="","",DAY('ปฏิทิน'!U1))</f>
        <v/>
      </c>
      <c r="V6" s="473">
        <f>IF('ปฏิทิน'!V1="","",DAY('ปฏิทิน'!V1))</f>
        <v/>
      </c>
      <c r="W6" s="473">
        <f>IF('ปฏิทิน'!W1="","",DAY('ปฏิทิน'!W1))</f>
        <v/>
      </c>
      <c r="X6" s="473">
        <f>IF('ปฏิทิน'!X1="","",DAY('ปฏิทิน'!X1))</f>
        <v/>
      </c>
      <c r="Y6" s="473">
        <f>IF('ปฏิทิน'!Y1="","",DAY('ปฏิทิน'!Y1))</f>
        <v/>
      </c>
      <c r="Z6" s="473">
        <f>IF('ปฏิทิน'!Z1="","",DAY('ปฏิทิน'!Z1))</f>
        <v/>
      </c>
      <c r="AA6" s="473">
        <f>IF('ปฏิทิน'!AA1="","",DAY('ปฏิทิน'!AA1))</f>
        <v/>
      </c>
      <c r="AB6" s="473">
        <f>IF('ปฏิทิน'!AB1="","",DAY('ปฏิทิน'!AB1))</f>
        <v/>
      </c>
      <c r="AC6" s="473">
        <f>IF('ปฏิทิน'!AC1="","",DAY('ปฏิทิน'!AC1))</f>
        <v/>
      </c>
      <c r="AD6" s="473">
        <f>IF('ปฏิทิน'!AD1="","",DAY('ปฏิทิน'!AD1))</f>
        <v/>
      </c>
      <c r="AE6" s="473">
        <f>IF('ปฏิทิน'!AE1="","",DAY('ปฏิทิน'!AE1))</f>
        <v/>
      </c>
      <c r="AF6" s="473">
        <f>IF('ปฏิทิน'!AF1="","",DAY('ปฏิทิน'!AF1))</f>
        <v/>
      </c>
      <c r="AG6" s="473">
        <f>IF('ปฏิทิน'!AG1="","",DAY('ปฏิทิน'!AG1))</f>
        <v/>
      </c>
      <c r="AH6" s="473">
        <f>IF('ปฏิทิน'!AH1="","",DAY('ปฏิทิน'!AH1))</f>
        <v/>
      </c>
      <c r="AI6" s="477" t="inlineStr">
        <is>
          <t>แปรง</t>
        </is>
      </c>
      <c r="AJ6" s="478" t="inlineStr">
        <is>
          <t>ไม่
แปรง</t>
        </is>
      </c>
      <c r="AK6" s="479" t="inlineStr">
        <is>
          <t>ร้อยละ</t>
        </is>
      </c>
      <c r="AL6" s="476">
        <f>IF('ปฏิทิน'!AL1="","",DAY('ปฏิทิน'!AL1))</f>
        <v/>
      </c>
      <c r="AM6" s="473">
        <f>IF('ปฏิทิน'!AM1="","",DAY('ปฏิทิน'!AM1))</f>
        <v/>
      </c>
      <c r="AN6" s="473">
        <f>IF('ปฏิทิน'!AN1="","",DAY('ปฏิทิน'!AN1))</f>
        <v/>
      </c>
      <c r="AO6" s="473">
        <f>IF('ปฏิทิน'!AO1="","",DAY('ปฏิทิน'!AO1))</f>
        <v/>
      </c>
      <c r="AP6" s="473">
        <f>IF('ปฏิทิน'!AP1="","",DAY('ปฏิทิน'!AP1))</f>
        <v/>
      </c>
      <c r="AQ6" s="473">
        <f>IF('ปฏิทิน'!AQ1="","",DAY('ปฏิทิน'!AQ1))</f>
        <v/>
      </c>
      <c r="AR6" s="473">
        <f>IF('ปฏิทิน'!AR1="","",DAY('ปฏิทิน'!AR1))</f>
        <v/>
      </c>
      <c r="AS6" s="473">
        <f>IF('ปฏิทิน'!AS1="","",DAY('ปฏิทิน'!AS1))</f>
        <v/>
      </c>
      <c r="AT6" s="473">
        <f>IF('ปฏิทิน'!AT1="","",DAY('ปฏิทิน'!AT1))</f>
        <v/>
      </c>
      <c r="AU6" s="473">
        <f>IF('ปฏิทิน'!AU1="","",DAY('ปฏิทิน'!AU1))</f>
        <v/>
      </c>
      <c r="AV6" s="473">
        <f>IF('ปฏิทิน'!AV1="","",DAY('ปฏิทิน'!AV1))</f>
        <v/>
      </c>
      <c r="AW6" s="473">
        <f>IF('ปฏิทิน'!AW1="","",DAY('ปฏิทิน'!AW1))</f>
        <v/>
      </c>
      <c r="AX6" s="473">
        <f>IF('ปฏิทิน'!AX1="","",DAY('ปฏิทิน'!AX1))</f>
        <v/>
      </c>
      <c r="AY6" s="473">
        <f>IF('ปฏิทิน'!AY1="","",DAY('ปฏิทิน'!AY1))</f>
        <v/>
      </c>
      <c r="AZ6" s="473">
        <f>IF('ปฏิทิน'!AZ1="","",DAY('ปฏิทิน'!AZ1))</f>
        <v/>
      </c>
      <c r="BA6" s="473">
        <f>IF('ปฏิทิน'!BA1="","",DAY('ปฏิทิน'!BA1))</f>
        <v/>
      </c>
      <c r="BB6" s="473">
        <f>IF('ปฏิทิน'!BB1="","",DAY('ปฏิทิน'!BB1))</f>
        <v/>
      </c>
      <c r="BC6" s="473">
        <f>IF('ปฏิทิน'!BC1="","",DAY('ปฏิทิน'!BC1))</f>
        <v/>
      </c>
      <c r="BD6" s="473">
        <f>IF('ปฏิทิน'!BD1="","",DAY('ปฏิทิน'!BD1))</f>
        <v/>
      </c>
      <c r="BE6" s="473">
        <f>IF('ปฏิทิน'!BE1="","",DAY('ปฏิทิน'!BE1))</f>
        <v/>
      </c>
      <c r="BF6" s="473">
        <f>IF('ปฏิทิน'!BF1="","",DAY('ปฏิทิน'!BF1))</f>
        <v/>
      </c>
      <c r="BG6" s="473">
        <f>IF('ปฏิทิน'!BG1="","",DAY('ปฏิทิน'!BG1))</f>
        <v/>
      </c>
      <c r="BH6" s="473">
        <f>IF('ปฏิทิน'!BH1="","",DAY('ปฏิทิน'!BH1))</f>
        <v/>
      </c>
      <c r="BI6" s="473">
        <f>IF('ปฏิทิน'!BI1="","",DAY('ปฏิทิน'!BI1))</f>
        <v/>
      </c>
      <c r="BJ6" s="473">
        <f>IF('ปฏิทิน'!BJ1="","",DAY('ปฏิทิน'!BJ1))</f>
        <v/>
      </c>
      <c r="BK6" s="473">
        <f>IF('ปฏิทิน'!BK1="","",DAY('ปฏิทิน'!BK1))</f>
        <v/>
      </c>
      <c r="BL6" s="473">
        <f>IF('ปฏิทิน'!BL1="","",DAY('ปฏิทิน'!BL1))</f>
        <v/>
      </c>
      <c r="BM6" s="473">
        <f>IF('ปฏิทิน'!BM1="","",DAY('ปฏิทิน'!BM1))</f>
        <v/>
      </c>
      <c r="BN6" s="473">
        <f>IF('ปฏิทิน'!BN1="","",DAY('ปฏิทิน'!BN1))</f>
        <v/>
      </c>
      <c r="BO6" s="473">
        <f>IF('ปฏิทิน'!BO1="","",DAY('ปฏิทิน'!BO1))</f>
        <v/>
      </c>
      <c r="BP6" s="473">
        <f>IF('ปฏิทิน'!BP1="","",DAY('ปฏิทิน'!BP1))</f>
        <v/>
      </c>
      <c r="BQ6" s="477" t="inlineStr">
        <is>
          <t>แปรง</t>
        </is>
      </c>
      <c r="BR6" s="478" t="inlineStr">
        <is>
          <t>ไม่
แปรง</t>
        </is>
      </c>
      <c r="BS6" s="479" t="inlineStr">
        <is>
          <t>ร้อยละ</t>
        </is>
      </c>
      <c r="BT6" s="476">
        <f>IF('ปฏิทิน'!BT1="","",DAY('ปฏิทิน'!BT1))</f>
        <v/>
      </c>
      <c r="BU6" s="473">
        <f>IF('ปฏิทิน'!BU1="","",DAY('ปฏิทิน'!BU1))</f>
        <v/>
      </c>
      <c r="BV6" s="473">
        <f>IF('ปฏิทิน'!BV1="","",DAY('ปฏิทิน'!BV1))</f>
        <v/>
      </c>
      <c r="BW6" s="473">
        <f>IF('ปฏิทิน'!BW1="","",DAY('ปฏิทิน'!BW1))</f>
        <v/>
      </c>
      <c r="BX6" s="473">
        <f>IF('ปฏิทิน'!BX1="","",DAY('ปฏิทิน'!BX1))</f>
        <v/>
      </c>
      <c r="BY6" s="473">
        <f>IF('ปฏิทิน'!BY1="","",DAY('ปฏิทิน'!BY1))</f>
        <v/>
      </c>
      <c r="BZ6" s="473">
        <f>IF('ปฏิทิน'!BZ1="","",DAY('ปฏิทิน'!BZ1))</f>
        <v/>
      </c>
      <c r="CA6" s="473">
        <f>IF('ปฏิทิน'!CA1="","",DAY('ปฏิทิน'!CA1))</f>
        <v/>
      </c>
      <c r="CB6" s="473">
        <f>IF('ปฏิทิน'!CB1="","",DAY('ปฏิทิน'!CB1))</f>
        <v/>
      </c>
      <c r="CC6" s="473">
        <f>IF('ปฏิทิน'!CC1="","",DAY('ปฏิทิน'!CC1))</f>
        <v/>
      </c>
      <c r="CD6" s="473">
        <f>IF('ปฏิทิน'!CD1="","",DAY('ปฏิทิน'!CD1))</f>
        <v/>
      </c>
      <c r="CE6" s="473">
        <f>IF('ปฏิทิน'!CE1="","",DAY('ปฏิทิน'!CE1))</f>
        <v/>
      </c>
      <c r="CF6" s="473">
        <f>IF('ปฏิทิน'!CF1="","",DAY('ปฏิทิน'!CF1))</f>
        <v/>
      </c>
      <c r="CG6" s="473">
        <f>IF('ปฏิทิน'!CG1="","",DAY('ปฏิทิน'!CG1))</f>
        <v/>
      </c>
      <c r="CH6" s="473">
        <f>IF('ปฏิทิน'!CH1="","",DAY('ปฏิทิน'!CH1))</f>
        <v/>
      </c>
      <c r="CI6" s="473">
        <f>IF('ปฏิทิน'!CI1="","",DAY('ปฏิทิน'!CI1))</f>
        <v/>
      </c>
      <c r="CJ6" s="473">
        <f>IF('ปฏิทิน'!CJ1="","",DAY('ปฏิทิน'!CJ1))</f>
        <v/>
      </c>
      <c r="CK6" s="473">
        <f>IF('ปฏิทิน'!CK1="","",DAY('ปฏิทิน'!CK1))</f>
        <v/>
      </c>
      <c r="CL6" s="473">
        <f>IF('ปฏิทิน'!CL1="","",DAY('ปฏิทิน'!CL1))</f>
        <v/>
      </c>
      <c r="CM6" s="473">
        <f>IF('ปฏิทิน'!CM1="","",DAY('ปฏิทิน'!CM1))</f>
        <v/>
      </c>
      <c r="CN6" s="473">
        <f>IF('ปฏิทิน'!CN1="","",DAY('ปฏิทิน'!CN1))</f>
        <v/>
      </c>
      <c r="CO6" s="473">
        <f>IF('ปฏิทิน'!CO1="","",DAY('ปฏิทิน'!CO1))</f>
        <v/>
      </c>
      <c r="CP6" s="473">
        <f>IF('ปฏิทิน'!CP1="","",DAY('ปฏิทิน'!CP1))</f>
        <v/>
      </c>
      <c r="CQ6" s="473">
        <f>IF('ปฏิทิน'!CQ1="","",DAY('ปฏิทิน'!CQ1))</f>
        <v/>
      </c>
      <c r="CR6" s="473">
        <f>IF('ปฏิทิน'!CR1="","",DAY('ปฏิทิน'!CR1))</f>
        <v/>
      </c>
      <c r="CS6" s="473">
        <f>IF('ปฏิทิน'!CS1="","",DAY('ปฏิทิน'!CS1))</f>
        <v/>
      </c>
      <c r="CT6" s="473">
        <f>IF('ปฏิทิน'!CT1="","",DAY('ปฏิทิน'!CT1))</f>
        <v/>
      </c>
      <c r="CU6" s="473">
        <f>IF('ปฏิทิน'!CU1="","",DAY('ปฏิทิน'!CU1))</f>
        <v/>
      </c>
      <c r="CV6" s="473">
        <f>IF('ปฏิทิน'!CV1="","",DAY('ปฏิทิน'!CV1))</f>
        <v/>
      </c>
      <c r="CW6" s="473">
        <f>IF('ปฏิทิน'!CW1="","",DAY('ปฏิทิน'!CW1))</f>
        <v/>
      </c>
      <c r="CX6" s="473">
        <f>IF('ปฏิทิน'!CX1="","",DAY('ปฏิทิน'!CX1))</f>
        <v/>
      </c>
      <c r="CY6" s="477" t="inlineStr">
        <is>
          <t>แปรง</t>
        </is>
      </c>
      <c r="CZ6" s="478" t="inlineStr">
        <is>
          <t>ไม่
แปรง</t>
        </is>
      </c>
      <c r="DA6" s="479" t="inlineStr">
        <is>
          <t>ร้อยละ</t>
        </is>
      </c>
      <c r="DB6" s="476">
        <f>IF('ปฏิทิน'!DB1="","",DAY('ปฏิทิน'!DB1))</f>
        <v/>
      </c>
      <c r="DC6" s="473">
        <f>IF('ปฏิทิน'!DC1="","",DAY('ปฏิทิน'!DC1))</f>
        <v/>
      </c>
      <c r="DD6" s="473">
        <f>IF('ปฏิทิน'!DD1="","",DAY('ปฏิทิน'!DD1))</f>
        <v/>
      </c>
      <c r="DE6" s="473">
        <f>IF('ปฏิทิน'!DE1="","",DAY('ปฏิทิน'!DE1))</f>
        <v/>
      </c>
      <c r="DF6" s="473">
        <f>IF('ปฏิทิน'!DF1="","",DAY('ปฏิทิน'!DF1))</f>
        <v/>
      </c>
      <c r="DG6" s="473">
        <f>IF('ปฏิทิน'!DG1="","",DAY('ปฏิทิน'!DG1))</f>
        <v/>
      </c>
      <c r="DH6" s="473">
        <f>IF('ปฏิทิน'!DH1="","",DAY('ปฏิทิน'!DH1))</f>
        <v/>
      </c>
      <c r="DI6" s="473">
        <f>IF('ปฏิทิน'!DI1="","",DAY('ปฏิทิน'!DI1))</f>
        <v/>
      </c>
      <c r="DJ6" s="473">
        <f>IF('ปฏิทิน'!DJ1="","",DAY('ปฏิทิน'!DJ1))</f>
        <v/>
      </c>
      <c r="DK6" s="473">
        <f>IF('ปฏิทิน'!DK1="","",DAY('ปฏิทิน'!DK1))</f>
        <v/>
      </c>
      <c r="DL6" s="473">
        <f>IF('ปฏิทิน'!DL1="","",DAY('ปฏิทิน'!DL1))</f>
        <v/>
      </c>
      <c r="DM6" s="473">
        <f>IF('ปฏิทิน'!DM1="","",DAY('ปฏิทิน'!DM1))</f>
        <v/>
      </c>
      <c r="DN6" s="473">
        <f>IF('ปฏิทิน'!DN1="","",DAY('ปฏิทิน'!DN1))</f>
        <v/>
      </c>
      <c r="DO6" s="473">
        <f>IF('ปฏิทิน'!DO1="","",DAY('ปฏิทิน'!DO1))</f>
        <v/>
      </c>
      <c r="DP6" s="473">
        <f>IF('ปฏิทิน'!DP1="","",DAY('ปฏิทิน'!DP1))</f>
        <v/>
      </c>
      <c r="DQ6" s="473">
        <f>IF('ปฏิทิน'!DQ1="","",DAY('ปฏิทิน'!DQ1))</f>
        <v/>
      </c>
      <c r="DR6" s="473">
        <f>IF('ปฏิทิน'!DR1="","",DAY('ปฏิทิน'!DR1))</f>
        <v/>
      </c>
      <c r="DS6" s="473">
        <f>IF('ปฏิทิน'!DS1="","",DAY('ปฏิทิน'!DS1))</f>
        <v/>
      </c>
      <c r="DT6" s="473">
        <f>IF('ปฏิทิน'!DT1="","",DAY('ปฏิทิน'!DT1))</f>
        <v/>
      </c>
      <c r="DU6" s="473">
        <f>IF('ปฏิทิน'!DU1="","",DAY('ปฏิทิน'!DU1))</f>
        <v/>
      </c>
      <c r="DV6" s="473">
        <f>IF('ปฏิทิน'!DV1="","",DAY('ปฏิทิน'!DV1))</f>
        <v/>
      </c>
      <c r="DW6" s="473">
        <f>IF('ปฏิทิน'!DW1="","",DAY('ปฏิทิน'!DW1))</f>
        <v/>
      </c>
      <c r="DX6" s="473">
        <f>IF('ปฏิทิน'!DX1="","",DAY('ปฏิทิน'!DX1))</f>
        <v/>
      </c>
      <c r="DY6" s="473">
        <f>IF('ปฏิทิน'!DY1="","",DAY('ปฏิทิน'!DY1))</f>
        <v/>
      </c>
      <c r="DZ6" s="473">
        <f>IF('ปฏิทิน'!DZ1="","",DAY('ปฏิทิน'!DZ1))</f>
        <v/>
      </c>
      <c r="EA6" s="473">
        <f>IF('ปฏิทิน'!EA1="","",DAY('ปฏิทิน'!EA1))</f>
        <v/>
      </c>
      <c r="EB6" s="473">
        <f>IF('ปฏิทิน'!EB1="","",DAY('ปฏิทิน'!EB1))</f>
        <v/>
      </c>
      <c r="EC6" s="473">
        <f>IF('ปฏิทิน'!EC1="","",DAY('ปฏิทิน'!EC1))</f>
        <v/>
      </c>
      <c r="ED6" s="473">
        <f>IF('ปฏิทิน'!ED1="","",DAY('ปฏิทิน'!ED1))</f>
        <v/>
      </c>
      <c r="EE6" s="473">
        <f>IF('ปฏิทิน'!EE1="","",DAY('ปฏิทิน'!EE1))</f>
        <v/>
      </c>
      <c r="EF6" s="473">
        <f>IF('ปฏิทิน'!EF1="","",DAY('ปฏิทิน'!EF1))</f>
        <v/>
      </c>
      <c r="EG6" s="477" t="inlineStr">
        <is>
          <t>แปรง</t>
        </is>
      </c>
      <c r="EH6" s="478" t="inlineStr">
        <is>
          <t>ไม่
แปรง</t>
        </is>
      </c>
      <c r="EI6" s="479" t="inlineStr">
        <is>
          <t>ร้อยละ</t>
        </is>
      </c>
      <c r="EJ6" s="476">
        <f>IF('ปฏิทิน'!EJ1="","",DAY('ปฏิทิน'!EJ1))</f>
        <v/>
      </c>
      <c r="EK6" s="473">
        <f>IF('ปฏิทิน'!EK1="","",DAY('ปฏิทิน'!EK1))</f>
        <v/>
      </c>
      <c r="EL6" s="473">
        <f>IF('ปฏิทิน'!EL1="","",DAY('ปฏิทิน'!EL1))</f>
        <v/>
      </c>
      <c r="EM6" s="473">
        <f>IF('ปฏิทิน'!EM1="","",DAY('ปฏิทิน'!EM1))</f>
        <v/>
      </c>
      <c r="EN6" s="473">
        <f>IF('ปฏิทิน'!EN1="","",DAY('ปฏิทิน'!EN1))</f>
        <v/>
      </c>
      <c r="EO6" s="473">
        <f>IF('ปฏิทิน'!EO1="","",DAY('ปฏิทิน'!EO1))</f>
        <v/>
      </c>
      <c r="EP6" s="473">
        <f>IF('ปฏิทิน'!EP1="","",DAY('ปฏิทิน'!EP1))</f>
        <v/>
      </c>
      <c r="EQ6" s="473">
        <f>IF('ปฏิทิน'!EQ1="","",DAY('ปฏิทิน'!EQ1))</f>
        <v/>
      </c>
      <c r="ER6" s="473">
        <f>IF('ปฏิทิน'!ER1="","",DAY('ปฏิทิน'!ER1))</f>
        <v/>
      </c>
      <c r="ES6" s="473">
        <f>IF('ปฏิทิน'!ES1="","",DAY('ปฏิทิน'!ES1))</f>
        <v/>
      </c>
      <c r="ET6" s="473">
        <f>IF('ปฏิทิน'!ET1="","",DAY('ปฏิทิน'!ET1))</f>
        <v/>
      </c>
      <c r="EU6" s="473">
        <f>IF('ปฏิทิน'!EU1="","",DAY('ปฏิทิน'!EU1))</f>
        <v/>
      </c>
      <c r="EV6" s="473">
        <f>IF('ปฏิทิน'!EV1="","",DAY('ปฏิทิน'!EV1))</f>
        <v/>
      </c>
      <c r="EW6" s="473">
        <f>IF('ปฏิทิน'!EW1="","",DAY('ปฏิทิน'!EW1))</f>
        <v/>
      </c>
      <c r="EX6" s="473">
        <f>IF('ปฏิทิน'!EX1="","",DAY('ปฏิทิน'!EX1))</f>
        <v/>
      </c>
      <c r="EY6" s="473">
        <f>IF('ปฏิทิน'!EY1="","",DAY('ปฏิทิน'!EY1))</f>
        <v/>
      </c>
      <c r="EZ6" s="473">
        <f>IF('ปฏิทิน'!EZ1="","",DAY('ปฏิทิน'!EZ1))</f>
        <v/>
      </c>
      <c r="FA6" s="473">
        <f>IF('ปฏิทิน'!FA1="","",DAY('ปฏิทิน'!FA1))</f>
        <v/>
      </c>
      <c r="FB6" s="473">
        <f>IF('ปฏิทิน'!FB1="","",DAY('ปฏิทิน'!FB1))</f>
        <v/>
      </c>
      <c r="FC6" s="473">
        <f>IF('ปฏิทิน'!FC1="","",DAY('ปฏิทิน'!FC1))</f>
        <v/>
      </c>
      <c r="FD6" s="473">
        <f>IF('ปฏิทิน'!FD1="","",DAY('ปฏิทิน'!FD1))</f>
        <v/>
      </c>
      <c r="FE6" s="473">
        <f>IF('ปฏิทิน'!FE1="","",DAY('ปฏิทิน'!FE1))</f>
        <v/>
      </c>
      <c r="FF6" s="473">
        <f>IF('ปฏิทิน'!FF1="","",DAY('ปฏิทิน'!FF1))</f>
        <v/>
      </c>
      <c r="FG6" s="473">
        <f>IF('ปฏิทิน'!FG1="","",DAY('ปฏิทิน'!FG1))</f>
        <v/>
      </c>
      <c r="FH6" s="473">
        <f>IF('ปฏิทิน'!FH1="","",DAY('ปฏิทิน'!FH1))</f>
        <v/>
      </c>
      <c r="FI6" s="473">
        <f>IF('ปฏิทิน'!FI1="","",DAY('ปฏิทิน'!FI1))</f>
        <v/>
      </c>
      <c r="FJ6" s="473">
        <f>IF('ปฏิทิน'!FJ1="","",DAY('ปฏิทิน'!FJ1))</f>
        <v/>
      </c>
      <c r="FK6" s="473">
        <f>IF('ปฏิทิน'!FK1="","",DAY('ปฏิทิน'!FK1))</f>
        <v/>
      </c>
      <c r="FL6" s="473">
        <f>IF('ปฏิทิน'!FL1="","",DAY('ปฏิทิน'!FL1))</f>
        <v/>
      </c>
      <c r="FM6" s="473">
        <f>IF('ปฏิทิน'!FM1="","",DAY('ปฏิทิน'!FM1))</f>
        <v/>
      </c>
      <c r="FN6" s="473">
        <f>IF('ปฏิทิน'!FN1="","",DAY('ปฏิทิน'!FN1))</f>
        <v/>
      </c>
      <c r="FO6" s="477" t="inlineStr">
        <is>
          <t>แปรง</t>
        </is>
      </c>
      <c r="FP6" s="478" t="inlineStr">
        <is>
          <t>ไม่
แปรง</t>
        </is>
      </c>
      <c r="FQ6" s="479" t="inlineStr">
        <is>
          <t>ร้อยละ</t>
        </is>
      </c>
      <c r="FR6" s="476">
        <f>IF('ปฏิทิน'!FR1="","",DAY('ปฏิทิน'!FR1))</f>
        <v/>
      </c>
      <c r="FS6" s="473">
        <f>IF('ปฏิทิน'!FS1="","",DAY('ปฏิทิน'!FS1))</f>
        <v/>
      </c>
      <c r="FT6" s="473">
        <f>IF('ปฏิทิน'!FT1="","",DAY('ปฏิทิน'!FT1))</f>
        <v/>
      </c>
      <c r="FU6" s="473">
        <f>IF('ปฏิทิน'!FU1="","",DAY('ปฏิทิน'!FU1))</f>
        <v/>
      </c>
      <c r="FV6" s="473">
        <f>IF('ปฏิทิน'!FV1="","",DAY('ปฏิทิน'!FV1))</f>
        <v/>
      </c>
      <c r="FW6" s="473">
        <f>IF('ปฏิทิน'!FW1="","",DAY('ปฏิทิน'!FW1))</f>
        <v/>
      </c>
      <c r="FX6" s="473">
        <f>IF('ปฏิทิน'!FX1="","",DAY('ปฏิทิน'!FX1))</f>
        <v/>
      </c>
      <c r="FY6" s="473">
        <f>IF('ปฏิทิน'!FY1="","",DAY('ปฏิทิน'!FY1))</f>
        <v/>
      </c>
      <c r="FZ6" s="473">
        <f>IF('ปฏิทิน'!FZ1="","",DAY('ปฏิทิน'!FZ1))</f>
        <v/>
      </c>
      <c r="GA6" s="473">
        <f>IF('ปฏิทิน'!GA1="","",DAY('ปฏิทิน'!GA1))</f>
        <v/>
      </c>
      <c r="GB6" s="473">
        <f>IF('ปฏิทิน'!GB1="","",DAY('ปฏิทิน'!GB1))</f>
        <v/>
      </c>
      <c r="GC6" s="473">
        <f>IF('ปฏิทิน'!GC1="","",DAY('ปฏิทิน'!GC1))</f>
        <v/>
      </c>
      <c r="GD6" s="473">
        <f>IF('ปฏิทิน'!GD1="","",DAY('ปฏิทิน'!GD1))</f>
        <v/>
      </c>
      <c r="GE6" s="473">
        <f>IF('ปฏิทิน'!GE1="","",DAY('ปฏิทิน'!GE1))</f>
        <v/>
      </c>
      <c r="GF6" s="473">
        <f>IF('ปฏิทิน'!GF1="","",DAY('ปฏิทิน'!GF1))</f>
        <v/>
      </c>
      <c r="GG6" s="473">
        <f>IF('ปฏิทิน'!GG1="","",DAY('ปฏิทิน'!GG1))</f>
        <v/>
      </c>
      <c r="GH6" s="473">
        <f>IF('ปฏิทิน'!GH1="","",DAY('ปฏิทิน'!GH1))</f>
        <v/>
      </c>
      <c r="GI6" s="473">
        <f>IF('ปฏิทิน'!GI1="","",DAY('ปฏิทิน'!GI1))</f>
        <v/>
      </c>
      <c r="GJ6" s="473">
        <f>IF('ปฏิทิน'!GJ1="","",DAY('ปฏิทิน'!GJ1))</f>
        <v/>
      </c>
      <c r="GK6" s="473">
        <f>IF('ปฏิทิน'!GK1="","",DAY('ปฏิทิน'!GK1))</f>
        <v/>
      </c>
      <c r="GL6" s="473">
        <f>IF('ปฏิทิน'!GL1="","",DAY('ปฏิทิน'!GL1))</f>
        <v/>
      </c>
      <c r="GM6" s="473">
        <f>IF('ปฏิทิน'!GM1="","",DAY('ปฏิทิน'!GM1))</f>
        <v/>
      </c>
      <c r="GN6" s="473">
        <f>IF('ปฏิทิน'!GN1="","",DAY('ปฏิทิน'!GN1))</f>
        <v/>
      </c>
      <c r="GO6" s="473">
        <f>IF('ปฏิทิน'!GO1="","",DAY('ปฏิทิน'!GO1))</f>
        <v/>
      </c>
      <c r="GP6" s="473">
        <f>IF('ปฏิทิน'!GP1="","",DAY('ปฏิทิน'!GP1))</f>
        <v/>
      </c>
      <c r="GQ6" s="473">
        <f>IF('ปฏิทิน'!GQ1="","",DAY('ปฏิทิน'!GQ1))</f>
        <v/>
      </c>
      <c r="GR6" s="473">
        <f>IF('ปฏิทิน'!GR1="","",DAY('ปฏิทิน'!GR1))</f>
        <v/>
      </c>
      <c r="GS6" s="473">
        <f>IF('ปฏิทิน'!GS1="","",DAY('ปฏิทิน'!GS1))</f>
        <v/>
      </c>
      <c r="GT6" s="473">
        <f>IF('ปฏิทิน'!GT1="","",DAY('ปฏิทิน'!GT1))</f>
        <v/>
      </c>
      <c r="GU6" s="473">
        <f>IF('ปฏิทิน'!GU1="","",DAY('ปฏิทิน'!GU1))</f>
        <v/>
      </c>
      <c r="GV6" s="473">
        <f>IF('ปฏิทิน'!GV1="","",DAY('ปฏิทิน'!GV1))</f>
        <v/>
      </c>
      <c r="GW6" s="477" t="inlineStr">
        <is>
          <t>แปรง</t>
        </is>
      </c>
      <c r="GX6" s="478" t="inlineStr">
        <is>
          <t>ไม่
แปรง</t>
        </is>
      </c>
      <c r="GY6" s="479" t="inlineStr">
        <is>
          <t>ร้อยละ</t>
        </is>
      </c>
    </row>
    <row r="7">
      <c r="D7" s="480">
        <f>IF('ปฏิทิน'!D1="","",CHOOSE(WEEKDAY('ปฏิทิน'!D1,2),"จ.","อ.","พ.","พฤ.","ศ.","ส.","อา."))</f>
        <v/>
      </c>
      <c r="E7" s="481">
        <f>IF('ปฏิทิน'!E1="","",CHOOSE(WEEKDAY('ปฏิทิน'!E1,2),"จ.","อ.","พ.","พฤ.","ศ.","ส.","อา."))</f>
        <v/>
      </c>
      <c r="F7" s="481">
        <f>IF('ปฏิทิน'!F1="","",CHOOSE(WEEKDAY('ปฏิทิน'!F1,2),"จ.","อ.","พ.","พฤ.","ศ.","ส.","อา."))</f>
        <v/>
      </c>
      <c r="G7" s="481">
        <f>IF('ปฏิทิน'!G1="","",CHOOSE(WEEKDAY('ปฏิทิน'!G1,2),"จ.","อ.","พ.","พฤ.","ศ.","ส.","อา."))</f>
        <v/>
      </c>
      <c r="H7" s="481">
        <f>IF('ปฏิทิน'!H1="","",CHOOSE(WEEKDAY('ปฏิทิน'!H1,2),"จ.","อ.","พ.","พฤ.","ศ.","ส.","อา."))</f>
        <v/>
      </c>
      <c r="I7" s="481">
        <f>IF('ปฏิทิน'!I1="","",CHOOSE(WEEKDAY('ปฏิทิน'!I1,2),"จ.","อ.","พ.","พฤ.","ศ.","ส.","อา."))</f>
        <v/>
      </c>
      <c r="J7" s="481">
        <f>IF('ปฏิทิน'!J1="","",CHOOSE(WEEKDAY('ปฏิทิน'!J1,2),"จ.","อ.","พ.","พฤ.","ศ.","ส.","อา."))</f>
        <v/>
      </c>
      <c r="K7" s="481">
        <f>IF('ปฏิทิน'!K1="","",CHOOSE(WEEKDAY('ปฏิทิน'!K1,2),"จ.","อ.","พ.","พฤ.","ศ.","ส.","อา."))</f>
        <v/>
      </c>
      <c r="L7" s="481">
        <f>IF('ปฏิทิน'!L1="","",CHOOSE(WEEKDAY('ปฏิทิน'!L1,2),"จ.","อ.","พ.","พฤ.","ศ.","ส.","อา."))</f>
        <v/>
      </c>
      <c r="M7" s="481">
        <f>IF('ปฏิทิน'!M1="","",CHOOSE(WEEKDAY('ปฏิทิน'!M1,2),"จ.","อ.","พ.","พฤ.","ศ.","ส.","อา."))</f>
        <v/>
      </c>
      <c r="N7" s="481">
        <f>IF('ปฏิทิน'!N1="","",CHOOSE(WEEKDAY('ปฏิทิน'!N1,2),"จ.","อ.","พ.","พฤ.","ศ.","ส.","อา."))</f>
        <v/>
      </c>
      <c r="O7" s="481">
        <f>IF('ปฏิทิน'!O1="","",CHOOSE(WEEKDAY('ปฏิทิน'!O1,2),"จ.","อ.","พ.","พฤ.","ศ.","ส.","อา."))</f>
        <v/>
      </c>
      <c r="P7" s="481">
        <f>IF('ปฏิทิน'!P1="","",CHOOSE(WEEKDAY('ปฏิทิน'!P1,2),"จ.","อ.","พ.","พฤ.","ศ.","ส.","อา."))</f>
        <v/>
      </c>
      <c r="Q7" s="481">
        <f>IF('ปฏิทิน'!Q1="","",CHOOSE(WEEKDAY('ปฏิทิน'!Q1,2),"จ.","อ.","พ.","พฤ.","ศ.","ส.","อา."))</f>
        <v/>
      </c>
      <c r="R7" s="481">
        <f>IF('ปฏิทิน'!R1="","",CHOOSE(WEEKDAY('ปฏิทิน'!R1,2),"จ.","อ.","พ.","พฤ.","ศ.","ส.","อา."))</f>
        <v/>
      </c>
      <c r="S7" s="481">
        <f>IF('ปฏิทิน'!S1="","",CHOOSE(WEEKDAY('ปฏิทิน'!S1,2),"จ.","อ.","พ.","พฤ.","ศ.","ส.","อา."))</f>
        <v/>
      </c>
      <c r="T7" s="481">
        <f>IF('ปฏิทิน'!T1="","",CHOOSE(WEEKDAY('ปฏิทิน'!T1,2),"จ.","อ.","พ.","พฤ.","ศ.","ส.","อา."))</f>
        <v/>
      </c>
      <c r="U7" s="481">
        <f>IF('ปฏิทิน'!U1="","",CHOOSE(WEEKDAY('ปฏิทิน'!U1,2),"จ.","อ.","พ.","พฤ.","ศ.","ส.","อา."))</f>
        <v/>
      </c>
      <c r="V7" s="481">
        <f>IF('ปฏิทิน'!V1="","",CHOOSE(WEEKDAY('ปฏิทิน'!V1,2),"จ.","อ.","พ.","พฤ.","ศ.","ส.","อา."))</f>
        <v/>
      </c>
      <c r="W7" s="481">
        <f>IF('ปฏิทิน'!W1="","",CHOOSE(WEEKDAY('ปฏิทิน'!W1,2),"จ.","อ.","พ.","พฤ.","ศ.","ส.","อา."))</f>
        <v/>
      </c>
      <c r="X7" s="481">
        <f>IF('ปฏิทิน'!X1="","",CHOOSE(WEEKDAY('ปฏิทิน'!X1,2),"จ.","อ.","พ.","พฤ.","ศ.","ส.","อา."))</f>
        <v/>
      </c>
      <c r="Y7" s="481">
        <f>IF('ปฏิทิน'!Y1="","",CHOOSE(WEEKDAY('ปฏิทิน'!Y1,2),"จ.","อ.","พ.","พฤ.","ศ.","ส.","อา."))</f>
        <v/>
      </c>
      <c r="Z7" s="481">
        <f>IF('ปฏิทิน'!Z1="","",CHOOSE(WEEKDAY('ปฏิทิน'!Z1,2),"จ.","อ.","พ.","พฤ.","ศ.","ส.","อา."))</f>
        <v/>
      </c>
      <c r="AA7" s="481">
        <f>IF('ปฏิทิน'!AA1="","",CHOOSE(WEEKDAY('ปฏิทิน'!AA1,2),"จ.","อ.","พ.","พฤ.","ศ.","ส.","อา."))</f>
        <v/>
      </c>
      <c r="AB7" s="481">
        <f>IF('ปฏิทิน'!AB1="","",CHOOSE(WEEKDAY('ปฏิทิน'!AB1,2),"จ.","อ.","พ.","พฤ.","ศ.","ส.","อา."))</f>
        <v/>
      </c>
      <c r="AC7" s="481">
        <f>IF('ปฏิทิน'!AC1="","",CHOOSE(WEEKDAY('ปฏิทิน'!AC1,2),"จ.","อ.","พ.","พฤ.","ศ.","ส.","อา."))</f>
        <v/>
      </c>
      <c r="AD7" s="481">
        <f>IF('ปฏิทิน'!AD1="","",CHOOSE(WEEKDAY('ปฏิทิน'!AD1,2),"จ.","อ.","พ.","พฤ.","ศ.","ส.","อา."))</f>
        <v/>
      </c>
      <c r="AE7" s="481">
        <f>IF('ปฏิทิน'!AE1="","",CHOOSE(WEEKDAY('ปฏิทิน'!AE1,2),"จ.","อ.","พ.","พฤ.","ศ.","ส.","อา."))</f>
        <v/>
      </c>
      <c r="AF7" s="481">
        <f>IF('ปฏิทิน'!AF1="","",CHOOSE(WEEKDAY('ปฏิทิน'!AF1,2),"จ.","อ.","พ.","พฤ.","ศ.","ส.","อา."))</f>
        <v/>
      </c>
      <c r="AG7" s="481">
        <f>IF('ปฏิทิน'!AG1="","",CHOOSE(WEEKDAY('ปฏิทิน'!AG1,2),"จ.","อ.","พ.","พฤ.","ศ.","ส.","อา."))</f>
        <v/>
      </c>
      <c r="AH7" s="481">
        <f>IF('ปฏิทิน'!AH1="","",CHOOSE(WEEKDAY('ปฏิทิน'!AH1,2),"จ.","อ.","พ.","พฤ.","ศ.","ส.","อา."))</f>
        <v/>
      </c>
      <c r="AI7" s="482" t="n"/>
      <c r="AL7" s="480">
        <f>IF('ปฏิทิน'!AL1="","",CHOOSE(WEEKDAY('ปฏิทิน'!AL1,2),"จ.","อ.","พ.","พฤ.","ศ.","ส.","อา."))</f>
        <v/>
      </c>
      <c r="AM7" s="481">
        <f>IF('ปฏิทิน'!AM1="","",CHOOSE(WEEKDAY('ปฏิทิน'!AM1,2),"จ.","อ.","พ.","พฤ.","ศ.","ส.","อา."))</f>
        <v/>
      </c>
      <c r="AN7" s="481">
        <f>IF('ปฏิทิน'!AN1="","",CHOOSE(WEEKDAY('ปฏิทิน'!AN1,2),"จ.","อ.","พ.","พฤ.","ศ.","ส.","อา."))</f>
        <v/>
      </c>
      <c r="AO7" s="481">
        <f>IF('ปฏิทิน'!AO1="","",CHOOSE(WEEKDAY('ปฏิทิน'!AO1,2),"จ.","อ.","พ.","พฤ.","ศ.","ส.","อา."))</f>
        <v/>
      </c>
      <c r="AP7" s="481">
        <f>IF('ปฏิทิน'!AP1="","",CHOOSE(WEEKDAY('ปฏิทิน'!AP1,2),"จ.","อ.","พ.","พฤ.","ศ.","ส.","อา."))</f>
        <v/>
      </c>
      <c r="AQ7" s="481">
        <f>IF('ปฏิทิน'!AQ1="","",CHOOSE(WEEKDAY('ปฏิทิน'!AQ1,2),"จ.","อ.","พ.","พฤ.","ศ.","ส.","อา."))</f>
        <v/>
      </c>
      <c r="AR7" s="481">
        <f>IF('ปฏิทิน'!AR1="","",CHOOSE(WEEKDAY('ปฏิทิน'!AR1,2),"จ.","อ.","พ.","พฤ.","ศ.","ส.","อา."))</f>
        <v/>
      </c>
      <c r="AS7" s="481">
        <f>IF('ปฏิทิน'!AS1="","",CHOOSE(WEEKDAY('ปฏิทิน'!AS1,2),"จ.","อ.","พ.","พฤ.","ศ.","ส.","อา."))</f>
        <v/>
      </c>
      <c r="AT7" s="481">
        <f>IF('ปฏิทิน'!AT1="","",CHOOSE(WEEKDAY('ปฏิทิน'!AT1,2),"จ.","อ.","พ.","พฤ.","ศ.","ส.","อา."))</f>
        <v/>
      </c>
      <c r="AU7" s="481">
        <f>IF('ปฏิทิน'!AU1="","",CHOOSE(WEEKDAY('ปฏิทิน'!AU1,2),"จ.","อ.","พ.","พฤ.","ศ.","ส.","อา."))</f>
        <v/>
      </c>
      <c r="AV7" s="481">
        <f>IF('ปฏิทิน'!AV1="","",CHOOSE(WEEKDAY('ปฏิทิน'!AV1,2),"จ.","อ.","พ.","พฤ.","ศ.","ส.","อา."))</f>
        <v/>
      </c>
      <c r="AW7" s="481">
        <f>IF('ปฏิทิน'!AW1="","",CHOOSE(WEEKDAY('ปฏิทิน'!AW1,2),"จ.","อ.","พ.","พฤ.","ศ.","ส.","อา."))</f>
        <v/>
      </c>
      <c r="AX7" s="481">
        <f>IF('ปฏิทิน'!AX1="","",CHOOSE(WEEKDAY('ปฏิทิน'!AX1,2),"จ.","อ.","พ.","พฤ.","ศ.","ส.","อา."))</f>
        <v/>
      </c>
      <c r="AY7" s="481">
        <f>IF('ปฏิทิน'!AY1="","",CHOOSE(WEEKDAY('ปฏิทิน'!AY1,2),"จ.","อ.","พ.","พฤ.","ศ.","ส.","อา."))</f>
        <v/>
      </c>
      <c r="AZ7" s="481">
        <f>IF('ปฏิทิน'!AZ1="","",CHOOSE(WEEKDAY('ปฏิทิน'!AZ1,2),"จ.","อ.","พ.","พฤ.","ศ.","ส.","อา."))</f>
        <v/>
      </c>
      <c r="BA7" s="481">
        <f>IF('ปฏิทิน'!BA1="","",CHOOSE(WEEKDAY('ปฏิทิน'!BA1,2),"จ.","อ.","พ.","พฤ.","ศ.","ส.","อา."))</f>
        <v/>
      </c>
      <c r="BB7" s="481">
        <f>IF('ปฏิทิน'!BB1="","",CHOOSE(WEEKDAY('ปฏิทิน'!BB1,2),"จ.","อ.","พ.","พฤ.","ศ.","ส.","อา."))</f>
        <v/>
      </c>
      <c r="BC7" s="481">
        <f>IF('ปฏิทิน'!BC1="","",CHOOSE(WEEKDAY('ปฏิทิน'!BC1,2),"จ.","อ.","พ.","พฤ.","ศ.","ส.","อา."))</f>
        <v/>
      </c>
      <c r="BD7" s="481">
        <f>IF('ปฏิทิน'!BD1="","",CHOOSE(WEEKDAY('ปฏิทิน'!BD1,2),"จ.","อ.","พ.","พฤ.","ศ.","ส.","อา."))</f>
        <v/>
      </c>
      <c r="BE7" s="481">
        <f>IF('ปฏิทิน'!BE1="","",CHOOSE(WEEKDAY('ปฏิทิน'!BE1,2),"จ.","อ.","พ.","พฤ.","ศ.","ส.","อา."))</f>
        <v/>
      </c>
      <c r="BF7" s="481">
        <f>IF('ปฏิทิน'!BF1="","",CHOOSE(WEEKDAY('ปฏิทิน'!BF1,2),"จ.","อ.","พ.","พฤ.","ศ.","ส.","อา."))</f>
        <v/>
      </c>
      <c r="BG7" s="481">
        <f>IF('ปฏิทิน'!BG1="","",CHOOSE(WEEKDAY('ปฏิทิน'!BG1,2),"จ.","อ.","พ.","พฤ.","ศ.","ส.","อา."))</f>
        <v/>
      </c>
      <c r="BH7" s="481">
        <f>IF('ปฏิทิน'!BH1="","",CHOOSE(WEEKDAY('ปฏิทิน'!BH1,2),"จ.","อ.","พ.","พฤ.","ศ.","ส.","อา."))</f>
        <v/>
      </c>
      <c r="BI7" s="481">
        <f>IF('ปฏิทิน'!BI1="","",CHOOSE(WEEKDAY('ปฏิทิน'!BI1,2),"จ.","อ.","พ.","พฤ.","ศ.","ส.","อา."))</f>
        <v/>
      </c>
      <c r="BJ7" s="481">
        <f>IF('ปฏิทิน'!BJ1="","",CHOOSE(WEEKDAY('ปฏิทิน'!BJ1,2),"จ.","อ.","พ.","พฤ.","ศ.","ส.","อา."))</f>
        <v/>
      </c>
      <c r="BK7" s="481">
        <f>IF('ปฏิทิน'!BK1="","",CHOOSE(WEEKDAY('ปฏิทิน'!BK1,2),"จ.","อ.","พ.","พฤ.","ศ.","ส.","อา."))</f>
        <v/>
      </c>
      <c r="BL7" s="481">
        <f>IF('ปฏิทิน'!BL1="","",CHOOSE(WEEKDAY('ปฏิทิน'!BL1,2),"จ.","อ.","พ.","พฤ.","ศ.","ส.","อา."))</f>
        <v/>
      </c>
      <c r="BM7" s="481">
        <f>IF('ปฏิทิน'!BM1="","",CHOOSE(WEEKDAY('ปฏิทิน'!BM1,2),"จ.","อ.","พ.","พฤ.","ศ.","ส.","อา."))</f>
        <v/>
      </c>
      <c r="BN7" s="481">
        <f>IF('ปฏิทิน'!BN1="","",CHOOSE(WEEKDAY('ปฏิทิน'!BN1,2),"จ.","อ.","พ.","พฤ.","ศ.","ส.","อา."))</f>
        <v/>
      </c>
      <c r="BO7" s="481">
        <f>IF('ปฏิทิน'!BO1="","",CHOOSE(WEEKDAY('ปฏิทิน'!BO1,2),"จ.","อ.","พ.","พฤ.","ศ.","ส.","อา."))</f>
        <v/>
      </c>
      <c r="BP7" s="481">
        <f>IF('ปฏิทิน'!BP1="","",CHOOSE(WEEKDAY('ปฏิทิน'!BP1,2),"จ.","อ.","พ.","พฤ.","ศ.","ส.","อา."))</f>
        <v/>
      </c>
      <c r="BQ7" s="482" t="n"/>
      <c r="BT7" s="480">
        <f>IF('ปฏิทิน'!BT1="","",CHOOSE(WEEKDAY('ปฏิทิน'!BT1,2),"จ.","อ.","พ.","พฤ.","ศ.","ส.","อา."))</f>
        <v/>
      </c>
      <c r="BU7" s="481">
        <f>IF('ปฏิทิน'!BU1="","",CHOOSE(WEEKDAY('ปฏิทิน'!BU1,2),"จ.","อ.","พ.","พฤ.","ศ.","ส.","อา."))</f>
        <v/>
      </c>
      <c r="BV7" s="481">
        <f>IF('ปฏิทิน'!BV1="","",CHOOSE(WEEKDAY('ปฏิทิน'!BV1,2),"จ.","อ.","พ.","พฤ.","ศ.","ส.","อา."))</f>
        <v/>
      </c>
      <c r="BW7" s="481">
        <f>IF('ปฏิทิน'!BW1="","",CHOOSE(WEEKDAY('ปฏิทิน'!BW1,2),"จ.","อ.","พ.","พฤ.","ศ.","ส.","อา."))</f>
        <v/>
      </c>
      <c r="BX7" s="481">
        <f>IF('ปฏิทิน'!BX1="","",CHOOSE(WEEKDAY('ปฏิทิน'!BX1,2),"จ.","อ.","พ.","พฤ.","ศ.","ส.","อา."))</f>
        <v/>
      </c>
      <c r="BY7" s="481">
        <f>IF('ปฏิทิน'!BY1="","",CHOOSE(WEEKDAY('ปฏิทิน'!BY1,2),"จ.","อ.","พ.","พฤ.","ศ.","ส.","อา."))</f>
        <v/>
      </c>
      <c r="BZ7" s="481">
        <f>IF('ปฏิทิน'!BZ1="","",CHOOSE(WEEKDAY('ปฏิทิน'!BZ1,2),"จ.","อ.","พ.","พฤ.","ศ.","ส.","อา."))</f>
        <v/>
      </c>
      <c r="CA7" s="481">
        <f>IF('ปฏิทิน'!CA1="","",CHOOSE(WEEKDAY('ปฏิทิน'!CA1,2),"จ.","อ.","พ.","พฤ.","ศ.","ส.","อา."))</f>
        <v/>
      </c>
      <c r="CB7" s="481">
        <f>IF('ปฏิทิน'!CB1="","",CHOOSE(WEEKDAY('ปฏิทิน'!CB1,2),"จ.","อ.","พ.","พฤ.","ศ.","ส.","อา."))</f>
        <v/>
      </c>
      <c r="CC7" s="481">
        <f>IF('ปฏิทิน'!CC1="","",CHOOSE(WEEKDAY('ปฏิทิน'!CC1,2),"จ.","อ.","พ.","พฤ.","ศ.","ส.","อา."))</f>
        <v/>
      </c>
      <c r="CD7" s="481">
        <f>IF('ปฏิทิน'!CD1="","",CHOOSE(WEEKDAY('ปฏิทิน'!CD1,2),"จ.","อ.","พ.","พฤ.","ศ.","ส.","อา."))</f>
        <v/>
      </c>
      <c r="CE7" s="481">
        <f>IF('ปฏิทิน'!CE1="","",CHOOSE(WEEKDAY('ปฏิทิน'!CE1,2),"จ.","อ.","พ.","พฤ.","ศ.","ส.","อา."))</f>
        <v/>
      </c>
      <c r="CF7" s="481">
        <f>IF('ปฏิทิน'!CF1="","",CHOOSE(WEEKDAY('ปฏิทิน'!CF1,2),"จ.","อ.","พ.","พฤ.","ศ.","ส.","อา."))</f>
        <v/>
      </c>
      <c r="CG7" s="481">
        <f>IF('ปฏิทิน'!CG1="","",CHOOSE(WEEKDAY('ปฏิทิน'!CG1,2),"จ.","อ.","พ.","พฤ.","ศ.","ส.","อา."))</f>
        <v/>
      </c>
      <c r="CH7" s="481">
        <f>IF('ปฏิทิน'!CH1="","",CHOOSE(WEEKDAY('ปฏิทิน'!CH1,2),"จ.","อ.","พ.","พฤ.","ศ.","ส.","อา."))</f>
        <v/>
      </c>
      <c r="CI7" s="481">
        <f>IF('ปฏิทิน'!CI1="","",CHOOSE(WEEKDAY('ปฏิทิน'!CI1,2),"จ.","อ.","พ.","พฤ.","ศ.","ส.","อา."))</f>
        <v/>
      </c>
      <c r="CJ7" s="481">
        <f>IF('ปฏิทิน'!CJ1="","",CHOOSE(WEEKDAY('ปฏิทิน'!CJ1,2),"จ.","อ.","พ.","พฤ.","ศ.","ส.","อา."))</f>
        <v/>
      </c>
      <c r="CK7" s="481">
        <f>IF('ปฏิทิน'!CK1="","",CHOOSE(WEEKDAY('ปฏิทิน'!CK1,2),"จ.","อ.","พ.","พฤ.","ศ.","ส.","อา."))</f>
        <v/>
      </c>
      <c r="CL7" s="481">
        <f>IF('ปฏิทิน'!CL1="","",CHOOSE(WEEKDAY('ปฏิทิน'!CL1,2),"จ.","อ.","พ.","พฤ.","ศ.","ส.","อา."))</f>
        <v/>
      </c>
      <c r="CM7" s="481">
        <f>IF('ปฏิทิน'!CM1="","",CHOOSE(WEEKDAY('ปฏิทิน'!CM1,2),"จ.","อ.","พ.","พฤ.","ศ.","ส.","อา."))</f>
        <v/>
      </c>
      <c r="CN7" s="481">
        <f>IF('ปฏิทิน'!CN1="","",CHOOSE(WEEKDAY('ปฏิทิน'!CN1,2),"จ.","อ.","พ.","พฤ.","ศ.","ส.","อา."))</f>
        <v/>
      </c>
      <c r="CO7" s="481">
        <f>IF('ปฏิทิน'!CO1="","",CHOOSE(WEEKDAY('ปฏิทิน'!CO1,2),"จ.","อ.","พ.","พฤ.","ศ.","ส.","อา."))</f>
        <v/>
      </c>
      <c r="CP7" s="481">
        <f>IF('ปฏิทิน'!CP1="","",CHOOSE(WEEKDAY('ปฏิทิน'!CP1,2),"จ.","อ.","พ.","พฤ.","ศ.","ส.","อา."))</f>
        <v/>
      </c>
      <c r="CQ7" s="481">
        <f>IF('ปฏิทิน'!CQ1="","",CHOOSE(WEEKDAY('ปฏิทิน'!CQ1,2),"จ.","อ.","พ.","พฤ.","ศ.","ส.","อา."))</f>
        <v/>
      </c>
      <c r="CR7" s="481">
        <f>IF('ปฏิทิน'!CR1="","",CHOOSE(WEEKDAY('ปฏิทิน'!CR1,2),"จ.","อ.","พ.","พฤ.","ศ.","ส.","อา."))</f>
        <v/>
      </c>
      <c r="CS7" s="481">
        <f>IF('ปฏิทิน'!CS1="","",CHOOSE(WEEKDAY('ปฏิทิน'!CS1,2),"จ.","อ.","พ.","พฤ.","ศ.","ส.","อา."))</f>
        <v/>
      </c>
      <c r="CT7" s="481">
        <f>IF('ปฏิทิน'!CT1="","",CHOOSE(WEEKDAY('ปฏิทิน'!CT1,2),"จ.","อ.","พ.","พฤ.","ศ.","ส.","อา."))</f>
        <v/>
      </c>
      <c r="CU7" s="481">
        <f>IF('ปฏิทิน'!CU1="","",CHOOSE(WEEKDAY('ปฏิทิน'!CU1,2),"จ.","อ.","พ.","พฤ.","ศ.","ส.","อา."))</f>
        <v/>
      </c>
      <c r="CV7" s="481">
        <f>IF('ปฏิทิน'!CV1="","",CHOOSE(WEEKDAY('ปฏิทิน'!CV1,2),"จ.","อ.","พ.","พฤ.","ศ.","ส.","อา."))</f>
        <v/>
      </c>
      <c r="CW7" s="481">
        <f>IF('ปฏิทิน'!CW1="","",CHOOSE(WEEKDAY('ปฏิทิน'!CW1,2),"จ.","อ.","พ.","พฤ.","ศ.","ส.","อา."))</f>
        <v/>
      </c>
      <c r="CX7" s="481">
        <f>IF('ปฏิทิน'!CX1="","",CHOOSE(WEEKDAY('ปฏิทิน'!CX1,2),"จ.","อ.","พ.","พฤ.","ศ.","ส.","อา."))</f>
        <v/>
      </c>
      <c r="CY7" s="482" t="n"/>
      <c r="DB7" s="480">
        <f>IF('ปฏิทิน'!DB1="","",CHOOSE(WEEKDAY('ปฏิทิน'!DB1,2),"จ.","อ.","พ.","พฤ.","ศ.","ส.","อา."))</f>
        <v/>
      </c>
      <c r="DC7" s="481">
        <f>IF('ปฏิทิน'!DC1="","",CHOOSE(WEEKDAY('ปฏิทิน'!DC1,2),"จ.","อ.","พ.","พฤ.","ศ.","ส.","อา."))</f>
        <v/>
      </c>
      <c r="DD7" s="481">
        <f>IF('ปฏิทิน'!DD1="","",CHOOSE(WEEKDAY('ปฏิทิน'!DD1,2),"จ.","อ.","พ.","พฤ.","ศ.","ส.","อา."))</f>
        <v/>
      </c>
      <c r="DE7" s="481">
        <f>IF('ปฏิทิน'!DE1="","",CHOOSE(WEEKDAY('ปฏิทิน'!DE1,2),"จ.","อ.","พ.","พฤ.","ศ.","ส.","อา."))</f>
        <v/>
      </c>
      <c r="DF7" s="481">
        <f>IF('ปฏิทิน'!DF1="","",CHOOSE(WEEKDAY('ปฏิทิน'!DF1,2),"จ.","อ.","พ.","พฤ.","ศ.","ส.","อา."))</f>
        <v/>
      </c>
      <c r="DG7" s="481">
        <f>IF('ปฏิทิน'!DG1="","",CHOOSE(WEEKDAY('ปฏิทิน'!DG1,2),"จ.","อ.","พ.","พฤ.","ศ.","ส.","อา."))</f>
        <v/>
      </c>
      <c r="DH7" s="481">
        <f>IF('ปฏิทิน'!DH1="","",CHOOSE(WEEKDAY('ปฏิทิน'!DH1,2),"จ.","อ.","พ.","พฤ.","ศ.","ส.","อา."))</f>
        <v/>
      </c>
      <c r="DI7" s="481">
        <f>IF('ปฏิทิน'!DI1="","",CHOOSE(WEEKDAY('ปฏิทิน'!DI1,2),"จ.","อ.","พ.","พฤ.","ศ.","ส.","อา."))</f>
        <v/>
      </c>
      <c r="DJ7" s="481">
        <f>IF('ปฏิทิน'!DJ1="","",CHOOSE(WEEKDAY('ปฏิทิน'!DJ1,2),"จ.","อ.","พ.","พฤ.","ศ.","ส.","อา."))</f>
        <v/>
      </c>
      <c r="DK7" s="481">
        <f>IF('ปฏิทิน'!DK1="","",CHOOSE(WEEKDAY('ปฏิทิน'!DK1,2),"จ.","อ.","พ.","พฤ.","ศ.","ส.","อา."))</f>
        <v/>
      </c>
      <c r="DL7" s="481">
        <f>IF('ปฏิทิน'!DL1="","",CHOOSE(WEEKDAY('ปฏิทิน'!DL1,2),"จ.","อ.","พ.","พฤ.","ศ.","ส.","อา."))</f>
        <v/>
      </c>
      <c r="DM7" s="481">
        <f>IF('ปฏิทิน'!DM1="","",CHOOSE(WEEKDAY('ปฏิทิน'!DM1,2),"จ.","อ.","พ.","พฤ.","ศ.","ส.","อา."))</f>
        <v/>
      </c>
      <c r="DN7" s="481">
        <f>IF('ปฏิทิน'!DN1="","",CHOOSE(WEEKDAY('ปฏิทิน'!DN1,2),"จ.","อ.","พ.","พฤ.","ศ.","ส.","อา."))</f>
        <v/>
      </c>
      <c r="DO7" s="481">
        <f>IF('ปฏิทิน'!DO1="","",CHOOSE(WEEKDAY('ปฏิทิน'!DO1,2),"จ.","อ.","พ.","พฤ.","ศ.","ส.","อา."))</f>
        <v/>
      </c>
      <c r="DP7" s="481">
        <f>IF('ปฏิทิน'!DP1="","",CHOOSE(WEEKDAY('ปฏิทิน'!DP1,2),"จ.","อ.","พ.","พฤ.","ศ.","ส.","อา."))</f>
        <v/>
      </c>
      <c r="DQ7" s="481">
        <f>IF('ปฏิทิน'!DQ1="","",CHOOSE(WEEKDAY('ปฏิทิน'!DQ1,2),"จ.","อ.","พ.","พฤ.","ศ.","ส.","อา."))</f>
        <v/>
      </c>
      <c r="DR7" s="481">
        <f>IF('ปฏิทิน'!DR1="","",CHOOSE(WEEKDAY('ปฏิทิน'!DR1,2),"จ.","อ.","พ.","พฤ.","ศ.","ส.","อา."))</f>
        <v/>
      </c>
      <c r="DS7" s="481">
        <f>IF('ปฏิทิน'!DS1="","",CHOOSE(WEEKDAY('ปฏิทิน'!DS1,2),"จ.","อ.","พ.","พฤ.","ศ.","ส.","อา."))</f>
        <v/>
      </c>
      <c r="DT7" s="481">
        <f>IF('ปฏิทิน'!DT1="","",CHOOSE(WEEKDAY('ปฏิทิน'!DT1,2),"จ.","อ.","พ.","พฤ.","ศ.","ส.","อา."))</f>
        <v/>
      </c>
      <c r="DU7" s="481">
        <f>IF('ปฏิทิน'!DU1="","",CHOOSE(WEEKDAY('ปฏิทิน'!DU1,2),"จ.","อ.","พ.","พฤ.","ศ.","ส.","อา."))</f>
        <v/>
      </c>
      <c r="DV7" s="481">
        <f>IF('ปฏิทิน'!DV1="","",CHOOSE(WEEKDAY('ปฏิทิน'!DV1,2),"จ.","อ.","พ.","พฤ.","ศ.","ส.","อา."))</f>
        <v/>
      </c>
      <c r="DW7" s="481">
        <f>IF('ปฏิทิน'!DW1="","",CHOOSE(WEEKDAY('ปฏิทิน'!DW1,2),"จ.","อ.","พ.","พฤ.","ศ.","ส.","อา."))</f>
        <v/>
      </c>
      <c r="DX7" s="481">
        <f>IF('ปฏิทิน'!DX1="","",CHOOSE(WEEKDAY('ปฏิทิน'!DX1,2),"จ.","อ.","พ.","พฤ.","ศ.","ส.","อา."))</f>
        <v/>
      </c>
      <c r="DY7" s="481">
        <f>IF('ปฏิทิน'!DY1="","",CHOOSE(WEEKDAY('ปฏิทิน'!DY1,2),"จ.","อ.","พ.","พฤ.","ศ.","ส.","อา."))</f>
        <v/>
      </c>
      <c r="DZ7" s="481">
        <f>IF('ปฏิทิน'!DZ1="","",CHOOSE(WEEKDAY('ปฏิทิน'!DZ1,2),"จ.","อ.","พ.","พฤ.","ศ.","ส.","อา."))</f>
        <v/>
      </c>
      <c r="EA7" s="481">
        <f>IF('ปฏิทิน'!EA1="","",CHOOSE(WEEKDAY('ปฏิทิน'!EA1,2),"จ.","อ.","พ.","พฤ.","ศ.","ส.","อา."))</f>
        <v/>
      </c>
      <c r="EB7" s="481">
        <f>IF('ปฏิทิน'!EB1="","",CHOOSE(WEEKDAY('ปฏิทิน'!EB1,2),"จ.","อ.","พ.","พฤ.","ศ.","ส.","อา."))</f>
        <v/>
      </c>
      <c r="EC7" s="481">
        <f>IF('ปฏิทิน'!EC1="","",CHOOSE(WEEKDAY('ปฏิทิน'!EC1,2),"จ.","อ.","พ.","พฤ.","ศ.","ส.","อา."))</f>
        <v/>
      </c>
      <c r="ED7" s="481">
        <f>IF('ปฏิทิน'!ED1="","",CHOOSE(WEEKDAY('ปฏิทิน'!ED1,2),"จ.","อ.","พ.","พฤ.","ศ.","ส.","อา."))</f>
        <v/>
      </c>
      <c r="EE7" s="481">
        <f>IF('ปฏิทิน'!EE1="","",CHOOSE(WEEKDAY('ปฏิทิน'!EE1,2),"จ.","อ.","พ.","พฤ.","ศ.","ส.","อา."))</f>
        <v/>
      </c>
      <c r="EF7" s="481">
        <f>IF('ปฏิทิน'!EF1="","",CHOOSE(WEEKDAY('ปฏิทิน'!EF1,2),"จ.","อ.","พ.","พฤ.","ศ.","ส.","อา."))</f>
        <v/>
      </c>
      <c r="EG7" s="482" t="n"/>
      <c r="EJ7" s="480">
        <f>IF('ปฏิทิน'!EJ1="","",CHOOSE(WEEKDAY('ปฏิทิน'!EJ1,2),"จ.","อ.","พ.","พฤ.","ศ.","ส.","อา."))</f>
        <v/>
      </c>
      <c r="EK7" s="481">
        <f>IF('ปฏิทิน'!EK1="","",CHOOSE(WEEKDAY('ปฏิทิน'!EK1,2),"จ.","อ.","พ.","พฤ.","ศ.","ส.","อา."))</f>
        <v/>
      </c>
      <c r="EL7" s="481">
        <f>IF('ปฏิทิน'!EL1="","",CHOOSE(WEEKDAY('ปฏิทิน'!EL1,2),"จ.","อ.","พ.","พฤ.","ศ.","ส.","อา."))</f>
        <v/>
      </c>
      <c r="EM7" s="481">
        <f>IF('ปฏิทิน'!EM1="","",CHOOSE(WEEKDAY('ปฏิทิน'!EM1,2),"จ.","อ.","พ.","พฤ.","ศ.","ส.","อา."))</f>
        <v/>
      </c>
      <c r="EN7" s="481">
        <f>IF('ปฏิทิน'!EN1="","",CHOOSE(WEEKDAY('ปฏิทิน'!EN1,2),"จ.","อ.","พ.","พฤ.","ศ.","ส.","อา."))</f>
        <v/>
      </c>
      <c r="EO7" s="481">
        <f>IF('ปฏิทิน'!EO1="","",CHOOSE(WEEKDAY('ปฏิทิน'!EO1,2),"จ.","อ.","พ.","พฤ.","ศ.","ส.","อา."))</f>
        <v/>
      </c>
      <c r="EP7" s="481">
        <f>IF('ปฏิทิน'!EP1="","",CHOOSE(WEEKDAY('ปฏิทิน'!EP1,2),"จ.","อ.","พ.","พฤ.","ศ.","ส.","อา."))</f>
        <v/>
      </c>
      <c r="EQ7" s="481">
        <f>IF('ปฏิทิน'!EQ1="","",CHOOSE(WEEKDAY('ปฏิทิน'!EQ1,2),"จ.","อ.","พ.","พฤ.","ศ.","ส.","อา."))</f>
        <v/>
      </c>
      <c r="ER7" s="481">
        <f>IF('ปฏิทิน'!ER1="","",CHOOSE(WEEKDAY('ปฏิทิน'!ER1,2),"จ.","อ.","พ.","พฤ.","ศ.","ส.","อา."))</f>
        <v/>
      </c>
      <c r="ES7" s="481">
        <f>IF('ปฏิทิน'!ES1="","",CHOOSE(WEEKDAY('ปฏิทิน'!ES1,2),"จ.","อ.","พ.","พฤ.","ศ.","ส.","อา."))</f>
        <v/>
      </c>
      <c r="ET7" s="481">
        <f>IF('ปฏิทิน'!ET1="","",CHOOSE(WEEKDAY('ปฏิทิน'!ET1,2),"จ.","อ.","พ.","พฤ.","ศ.","ส.","อา."))</f>
        <v/>
      </c>
      <c r="EU7" s="481">
        <f>IF('ปฏิทิน'!EU1="","",CHOOSE(WEEKDAY('ปฏิทิน'!EU1,2),"จ.","อ.","พ.","พฤ.","ศ.","ส.","อา."))</f>
        <v/>
      </c>
      <c r="EV7" s="481">
        <f>IF('ปฏิทิน'!EV1="","",CHOOSE(WEEKDAY('ปฏิทิน'!EV1,2),"จ.","อ.","พ.","พฤ.","ศ.","ส.","อา."))</f>
        <v/>
      </c>
      <c r="EW7" s="481">
        <f>IF('ปฏิทิน'!EW1="","",CHOOSE(WEEKDAY('ปฏิทิน'!EW1,2),"จ.","อ.","พ.","พฤ.","ศ.","ส.","อา."))</f>
        <v/>
      </c>
      <c r="EX7" s="481">
        <f>IF('ปฏิทิน'!EX1="","",CHOOSE(WEEKDAY('ปฏิทิน'!EX1,2),"จ.","อ.","พ.","พฤ.","ศ.","ส.","อา."))</f>
        <v/>
      </c>
      <c r="EY7" s="481">
        <f>IF('ปฏิทิน'!EY1="","",CHOOSE(WEEKDAY('ปฏิทิน'!EY1,2),"จ.","อ.","พ.","พฤ.","ศ.","ส.","อา."))</f>
        <v/>
      </c>
      <c r="EZ7" s="481">
        <f>IF('ปฏิทิน'!EZ1="","",CHOOSE(WEEKDAY('ปฏิทิน'!EZ1,2),"จ.","อ.","พ.","พฤ.","ศ.","ส.","อา."))</f>
        <v/>
      </c>
      <c r="FA7" s="481">
        <f>IF('ปฏิทิน'!FA1="","",CHOOSE(WEEKDAY('ปฏิทิน'!FA1,2),"จ.","อ.","พ.","พฤ.","ศ.","ส.","อา."))</f>
        <v/>
      </c>
      <c r="FB7" s="481">
        <f>IF('ปฏิทิน'!FB1="","",CHOOSE(WEEKDAY('ปฏิทิน'!FB1,2),"จ.","อ.","พ.","พฤ.","ศ.","ส.","อา."))</f>
        <v/>
      </c>
      <c r="FC7" s="481">
        <f>IF('ปฏิทิน'!FC1="","",CHOOSE(WEEKDAY('ปฏิทิน'!FC1,2),"จ.","อ.","พ.","พฤ.","ศ.","ส.","อา."))</f>
        <v/>
      </c>
      <c r="FD7" s="481">
        <f>IF('ปฏิทิน'!FD1="","",CHOOSE(WEEKDAY('ปฏิทิน'!FD1,2),"จ.","อ.","พ.","พฤ.","ศ.","ส.","อา."))</f>
        <v/>
      </c>
      <c r="FE7" s="481">
        <f>IF('ปฏิทิน'!FE1="","",CHOOSE(WEEKDAY('ปฏิทิน'!FE1,2),"จ.","อ.","พ.","พฤ.","ศ.","ส.","อา."))</f>
        <v/>
      </c>
      <c r="FF7" s="481">
        <f>IF('ปฏิทิน'!FF1="","",CHOOSE(WEEKDAY('ปฏิทิน'!FF1,2),"จ.","อ.","พ.","พฤ.","ศ.","ส.","อา."))</f>
        <v/>
      </c>
      <c r="FG7" s="481">
        <f>IF('ปฏิทิน'!FG1="","",CHOOSE(WEEKDAY('ปฏิทิน'!FG1,2),"จ.","อ.","พ.","พฤ.","ศ.","ส.","อา."))</f>
        <v/>
      </c>
      <c r="FH7" s="481">
        <f>IF('ปฏิทิน'!FH1="","",CHOOSE(WEEKDAY('ปฏิทิน'!FH1,2),"จ.","อ.","พ.","พฤ.","ศ.","ส.","อา."))</f>
        <v/>
      </c>
      <c r="FI7" s="481">
        <f>IF('ปฏิทิน'!FI1="","",CHOOSE(WEEKDAY('ปฏิทิน'!FI1,2),"จ.","อ.","พ.","พฤ.","ศ.","ส.","อา."))</f>
        <v/>
      </c>
      <c r="FJ7" s="481">
        <f>IF('ปฏิทิน'!FJ1="","",CHOOSE(WEEKDAY('ปฏิทิน'!FJ1,2),"จ.","อ.","พ.","พฤ.","ศ.","ส.","อา."))</f>
        <v/>
      </c>
      <c r="FK7" s="481">
        <f>IF('ปฏิทิน'!FK1="","",CHOOSE(WEEKDAY('ปฏิทิน'!FK1,2),"จ.","อ.","พ.","พฤ.","ศ.","ส.","อา."))</f>
        <v/>
      </c>
      <c r="FL7" s="481">
        <f>IF('ปฏิทิน'!FL1="","",CHOOSE(WEEKDAY('ปฏิทิน'!FL1,2),"จ.","อ.","พ.","พฤ.","ศ.","ส.","อา."))</f>
        <v/>
      </c>
      <c r="FM7" s="481">
        <f>IF('ปฏิทิน'!FM1="","",CHOOSE(WEEKDAY('ปฏิทิน'!FM1,2),"จ.","อ.","พ.","พฤ.","ศ.","ส.","อา."))</f>
        <v/>
      </c>
      <c r="FN7" s="481">
        <f>IF('ปฏิทิน'!FN1="","",CHOOSE(WEEKDAY('ปฏิทิน'!FN1,2),"จ.","อ.","พ.","พฤ.","ศ.","ส.","อา."))</f>
        <v/>
      </c>
      <c r="FO7" s="482" t="n"/>
      <c r="FR7" s="480">
        <f>IF('ปฏิทิน'!FR1="","",CHOOSE(WEEKDAY('ปฏิทิน'!FR1,2),"จ.","อ.","พ.","พฤ.","ศ.","ส.","อา."))</f>
        <v/>
      </c>
      <c r="FS7" s="481">
        <f>IF('ปฏิทิน'!FS1="","",CHOOSE(WEEKDAY('ปฏิทิน'!FS1,2),"จ.","อ.","พ.","พฤ.","ศ.","ส.","อา."))</f>
        <v/>
      </c>
      <c r="FT7" s="481">
        <f>IF('ปฏิทิน'!FT1="","",CHOOSE(WEEKDAY('ปฏิทิน'!FT1,2),"จ.","อ.","พ.","พฤ.","ศ.","ส.","อา."))</f>
        <v/>
      </c>
      <c r="FU7" s="481">
        <f>IF('ปฏิทิน'!FU1="","",CHOOSE(WEEKDAY('ปฏิทิน'!FU1,2),"จ.","อ.","พ.","พฤ.","ศ.","ส.","อา."))</f>
        <v/>
      </c>
      <c r="FV7" s="481">
        <f>IF('ปฏิทิน'!FV1="","",CHOOSE(WEEKDAY('ปฏิทิน'!FV1,2),"จ.","อ.","พ.","พฤ.","ศ.","ส.","อา."))</f>
        <v/>
      </c>
      <c r="FW7" s="481">
        <f>IF('ปฏิทิน'!FW1="","",CHOOSE(WEEKDAY('ปฏิทิน'!FW1,2),"จ.","อ.","พ.","พฤ.","ศ.","ส.","อา."))</f>
        <v/>
      </c>
      <c r="FX7" s="481">
        <f>IF('ปฏิทิน'!FX1="","",CHOOSE(WEEKDAY('ปฏิทิน'!FX1,2),"จ.","อ.","พ.","พฤ.","ศ.","ส.","อา."))</f>
        <v/>
      </c>
      <c r="FY7" s="481">
        <f>IF('ปฏิทิน'!FY1="","",CHOOSE(WEEKDAY('ปฏิทิน'!FY1,2),"จ.","อ.","พ.","พฤ.","ศ.","ส.","อา."))</f>
        <v/>
      </c>
      <c r="FZ7" s="481">
        <f>IF('ปฏิทิน'!FZ1="","",CHOOSE(WEEKDAY('ปฏิทิน'!FZ1,2),"จ.","อ.","พ.","พฤ.","ศ.","ส.","อา."))</f>
        <v/>
      </c>
      <c r="GA7" s="481">
        <f>IF('ปฏิทิน'!GA1="","",CHOOSE(WEEKDAY('ปฏิทิน'!GA1,2),"จ.","อ.","พ.","พฤ.","ศ.","ส.","อา."))</f>
        <v/>
      </c>
      <c r="GB7" s="481">
        <f>IF('ปฏิทิน'!GB1="","",CHOOSE(WEEKDAY('ปฏิทิน'!GB1,2),"จ.","อ.","พ.","พฤ.","ศ.","ส.","อา."))</f>
        <v/>
      </c>
      <c r="GC7" s="481">
        <f>IF('ปฏิทิน'!GC1="","",CHOOSE(WEEKDAY('ปฏิทิน'!GC1,2),"จ.","อ.","พ.","พฤ.","ศ.","ส.","อา."))</f>
        <v/>
      </c>
      <c r="GD7" s="481">
        <f>IF('ปฏิทิน'!GD1="","",CHOOSE(WEEKDAY('ปฏิทิน'!GD1,2),"จ.","อ.","พ.","พฤ.","ศ.","ส.","อา."))</f>
        <v/>
      </c>
      <c r="GE7" s="481">
        <f>IF('ปฏิทิน'!GE1="","",CHOOSE(WEEKDAY('ปฏิทิน'!GE1,2),"จ.","อ.","พ.","พฤ.","ศ.","ส.","อา."))</f>
        <v/>
      </c>
      <c r="GF7" s="481">
        <f>IF('ปฏิทิน'!GF1="","",CHOOSE(WEEKDAY('ปฏิทิน'!GF1,2),"จ.","อ.","พ.","พฤ.","ศ.","ส.","อา."))</f>
        <v/>
      </c>
      <c r="GG7" s="481">
        <f>IF('ปฏิทิน'!GG1="","",CHOOSE(WEEKDAY('ปฏิทิน'!GG1,2),"จ.","อ.","พ.","พฤ.","ศ.","ส.","อา."))</f>
        <v/>
      </c>
      <c r="GH7" s="481">
        <f>IF('ปฏิทิน'!GH1="","",CHOOSE(WEEKDAY('ปฏิทิน'!GH1,2),"จ.","อ.","พ.","พฤ.","ศ.","ส.","อา."))</f>
        <v/>
      </c>
      <c r="GI7" s="481">
        <f>IF('ปฏิทิน'!GI1="","",CHOOSE(WEEKDAY('ปฏิทิน'!GI1,2),"จ.","อ.","พ.","พฤ.","ศ.","ส.","อา."))</f>
        <v/>
      </c>
      <c r="GJ7" s="481">
        <f>IF('ปฏิทิน'!GJ1="","",CHOOSE(WEEKDAY('ปฏิทิน'!GJ1,2),"จ.","อ.","พ.","พฤ.","ศ.","ส.","อา."))</f>
        <v/>
      </c>
      <c r="GK7" s="481">
        <f>IF('ปฏิทิน'!GK1="","",CHOOSE(WEEKDAY('ปฏิทิน'!GK1,2),"จ.","อ.","พ.","พฤ.","ศ.","ส.","อา."))</f>
        <v/>
      </c>
      <c r="GL7" s="481">
        <f>IF('ปฏิทิน'!GL1="","",CHOOSE(WEEKDAY('ปฏิทิน'!GL1,2),"จ.","อ.","พ.","พฤ.","ศ.","ส.","อา."))</f>
        <v/>
      </c>
      <c r="GM7" s="481">
        <f>IF('ปฏิทิน'!GM1="","",CHOOSE(WEEKDAY('ปฏิทิน'!GM1,2),"จ.","อ.","พ.","พฤ.","ศ.","ส.","อา."))</f>
        <v/>
      </c>
      <c r="GN7" s="481">
        <f>IF('ปฏิทิน'!GN1="","",CHOOSE(WEEKDAY('ปฏิทิน'!GN1,2),"จ.","อ.","พ.","พฤ.","ศ.","ส.","อา."))</f>
        <v/>
      </c>
      <c r="GO7" s="481">
        <f>IF('ปฏิทิน'!GO1="","",CHOOSE(WEEKDAY('ปฏิทิน'!GO1,2),"จ.","อ.","พ.","พฤ.","ศ.","ส.","อา."))</f>
        <v/>
      </c>
      <c r="GP7" s="481">
        <f>IF('ปฏิทิน'!GP1="","",CHOOSE(WEEKDAY('ปฏิทิน'!GP1,2),"จ.","อ.","พ.","พฤ.","ศ.","ส.","อา."))</f>
        <v/>
      </c>
      <c r="GQ7" s="481">
        <f>IF('ปฏิทิน'!GQ1="","",CHOOSE(WEEKDAY('ปฏิทิน'!GQ1,2),"จ.","อ.","พ.","พฤ.","ศ.","ส.","อา."))</f>
        <v/>
      </c>
      <c r="GR7" s="481">
        <f>IF('ปฏิทิน'!GR1="","",CHOOSE(WEEKDAY('ปฏิทิน'!GR1,2),"จ.","อ.","พ.","พฤ.","ศ.","ส.","อา."))</f>
        <v/>
      </c>
      <c r="GS7" s="481">
        <f>IF('ปฏิทิน'!GS1="","",CHOOSE(WEEKDAY('ปฏิทิน'!GS1,2),"จ.","อ.","พ.","พฤ.","ศ.","ส.","อา."))</f>
        <v/>
      </c>
      <c r="GT7" s="481">
        <f>IF('ปฏิทิน'!GT1="","",CHOOSE(WEEKDAY('ปฏิทิน'!GT1,2),"จ.","อ.","พ.","พฤ.","ศ.","ส.","อา."))</f>
        <v/>
      </c>
      <c r="GU7" s="481">
        <f>IF('ปฏิทิน'!GU1="","",CHOOSE(WEEKDAY('ปฏิทิน'!GU1,2),"จ.","อ.","พ.","พฤ.","ศ.","ส.","อา."))</f>
        <v/>
      </c>
      <c r="GV7" s="481">
        <f>IF('ปฏิทิน'!GV1="","",CHOOSE(WEEKDAY('ปฏิทิน'!GV1,2),"จ.","อ.","พ.","พฤ.","ศ.","ส.","อา."))</f>
        <v/>
      </c>
      <c r="GW7" s="482" t="n"/>
    </row>
    <row r="8" ht="64" customHeight="1">
      <c r="D8" s="483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482" t="n"/>
      <c r="AL8" s="483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482" t="n"/>
      <c r="BT8" s="483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482" t="n"/>
      <c r="DB8" s="483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482" t="n"/>
      <c r="EJ8" s="483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482" t="n"/>
      <c r="FR8" s="483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482" t="n"/>
    </row>
    <row r="9">
      <c r="A9" s="218" t="n">
        <v>1</v>
      </c>
      <c r="B9" s="219">
        <f>'ข้อมูลนักเรียน'!T9</f>
        <v/>
      </c>
      <c r="C9" s="484">
        <f>IF(B9="","",IFERROR(COUNTIF(D9:GY9,"✓")/(COUNTIF(D9:GY9,"✓")+COUNTIF(D9:GY9,"✗")),""))</f>
        <v/>
      </c>
      <c r="D9" s="48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486">
        <f>IF($B9="","",COUNTIF(D9:AH9,"✓"))</f>
        <v/>
      </c>
      <c r="AJ9" s="487">
        <f>IF($B9="","",COUNTIF(D9:AH9,"✗"))</f>
        <v/>
      </c>
      <c r="AK9" s="488">
        <f>IF($B9="","",IFERROR(ROUND(COUNTIF(D9:AH9,"✓")/(COUNTIF(D9:AH9,"✓")+COUNTIF(D9:AH9,"✗"))*100,0),""))</f>
        <v/>
      </c>
      <c r="AL9" s="48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486">
        <f>IF($B9="","",COUNTIF(AL9:BP9,"✓"))</f>
        <v/>
      </c>
      <c r="BR9" s="487">
        <f>IF($B9="","",COUNTIF(AL9:BP9,"✗"))</f>
        <v/>
      </c>
      <c r="BS9" s="488">
        <f>IF($B9="","",IFERROR(ROUND(COUNTIF(AL9:BP9,"✓")/(COUNTIF(AL9:BP9,"✓")+COUNTIF(AL9:BP9,"✗"))*100,0),""))</f>
        <v/>
      </c>
      <c r="BT9" s="48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486">
        <f>IF($B9="","",COUNTIF(BT9:CX9,"✓"))</f>
        <v/>
      </c>
      <c r="CZ9" s="487">
        <f>IF($B9="","",COUNTIF(BT9:CX9,"✗"))</f>
        <v/>
      </c>
      <c r="DA9" s="488">
        <f>IF($B9="","",IFERROR(ROUND(COUNTIF(BT9:CX9,"✓")/(COUNTIF(BT9:CX9,"✓")+COUNTIF(BT9:CX9,"✗"))*100,0),""))</f>
        <v/>
      </c>
      <c r="DB9" s="48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486">
        <f>IF($B9="","",COUNTIF(DB9:EF9,"✓"))</f>
        <v/>
      </c>
      <c r="EH9" s="487">
        <f>IF($B9="","",COUNTIF(DB9:EF9,"✗"))</f>
        <v/>
      </c>
      <c r="EI9" s="488">
        <f>IF($B9="","",IFERROR(ROUND(COUNTIF(DB9:EF9,"✓")/(COUNTIF(DB9:EF9,"✓")+COUNTIF(DB9:EF9,"✗"))*100,0),""))</f>
        <v/>
      </c>
      <c r="EJ9" s="48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486">
        <f>IF($B9="","",COUNTIF(EJ9:FN9,"✓"))</f>
        <v/>
      </c>
      <c r="FP9" s="487">
        <f>IF($B9="","",COUNTIF(EJ9:FN9,"✗"))</f>
        <v/>
      </c>
      <c r="FQ9" s="488">
        <f>IF($B9="","",IFERROR(ROUND(COUNTIF(EJ9:FN9,"✓")/(COUNTIF(EJ9:FN9,"✓")+COUNTIF(EJ9:FN9,"✗"))*100,0),""))</f>
        <v/>
      </c>
      <c r="FR9" s="485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486">
        <f>IF($B9="","",COUNTIF(FR9:GV9,"✓"))</f>
        <v/>
      </c>
      <c r="GX9" s="487">
        <f>IF($B9="","",COUNTIF(FR9:GV9,"✗"))</f>
        <v/>
      </c>
      <c r="GY9" s="488">
        <f>IF($B9="","",IFERROR(ROUND(COUNTIF(FR9:GV9,"✓")/(COUNTIF(FR9:GV9,"✓")+COUNTIF(FR9:GV9,"✗"))*100,0),""))</f>
        <v/>
      </c>
    </row>
    <row r="10">
      <c r="A10" s="226" t="n">
        <v>2</v>
      </c>
      <c r="B10" s="227">
        <f>'ข้อมูลนักเรียน'!T10</f>
        <v/>
      </c>
      <c r="C10" s="484">
        <f>IF(B10="","",IFERROR(COUNTIF(D10:GY10,"✓")/(COUNTIF(D10:GY10,"✓")+COUNTIF(D10:GY10,"✗")),""))</f>
        <v/>
      </c>
      <c r="D10" s="48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486">
        <f>IF($B10="","",COUNTIF(D10:AH10,"✓"))</f>
        <v/>
      </c>
      <c r="AJ10" s="487">
        <f>IF($B10="","",COUNTIF(D10:AH10,"✗"))</f>
        <v/>
      </c>
      <c r="AK10" s="488">
        <f>IF($B10="","",IFERROR(ROUND(COUNTIF(D10:AH10,"✓")/(COUNTIF(D10:AH10,"✓")+COUNTIF(D10:AH10,"✗"))*100,0),""))</f>
        <v/>
      </c>
      <c r="AL10" s="48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486">
        <f>IF($B10="","",COUNTIF(AL10:BP10,"✓"))</f>
        <v/>
      </c>
      <c r="BR10" s="487">
        <f>IF($B10="","",COUNTIF(AL10:BP10,"✗"))</f>
        <v/>
      </c>
      <c r="BS10" s="488">
        <f>IF($B10="","",IFERROR(ROUND(COUNTIF(AL10:BP10,"✓")/(COUNTIF(AL10:BP10,"✓")+COUNTIF(AL10:BP10,"✗"))*100,0),""))</f>
        <v/>
      </c>
      <c r="BT10" s="48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486">
        <f>IF($B10="","",COUNTIF(BT10:CX10,"✓"))</f>
        <v/>
      </c>
      <c r="CZ10" s="487">
        <f>IF($B10="","",COUNTIF(BT10:CX10,"✗"))</f>
        <v/>
      </c>
      <c r="DA10" s="488">
        <f>IF($B10="","",IFERROR(ROUND(COUNTIF(BT10:CX10,"✓")/(COUNTIF(BT10:CX10,"✓")+COUNTIF(BT10:CX10,"✗"))*100,0),""))</f>
        <v/>
      </c>
      <c r="DB10" s="48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486">
        <f>IF($B10="","",COUNTIF(DB10:EF10,"✓"))</f>
        <v/>
      </c>
      <c r="EH10" s="487">
        <f>IF($B10="","",COUNTIF(DB10:EF10,"✗"))</f>
        <v/>
      </c>
      <c r="EI10" s="488">
        <f>IF($B10="","",IFERROR(ROUND(COUNTIF(DB10:EF10,"✓")/(COUNTIF(DB10:EF10,"✓")+COUNTIF(DB10:EF10,"✗"))*100,0),""))</f>
        <v/>
      </c>
      <c r="EJ10" s="48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486">
        <f>IF($B10="","",COUNTIF(EJ10:FN10,"✓"))</f>
        <v/>
      </c>
      <c r="FP10" s="487">
        <f>IF($B10="","",COUNTIF(EJ10:FN10,"✗"))</f>
        <v/>
      </c>
      <c r="FQ10" s="488">
        <f>IF($B10="","",IFERROR(ROUND(COUNTIF(EJ10:FN10,"✓")/(COUNTIF(EJ10:FN10,"✓")+COUNTIF(EJ10:FN10,"✗"))*100,0),""))</f>
        <v/>
      </c>
      <c r="FR10" s="485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486">
        <f>IF($B10="","",COUNTIF(FR10:GV10,"✓"))</f>
        <v/>
      </c>
      <c r="GX10" s="487">
        <f>IF($B10="","",COUNTIF(FR10:GV10,"✗"))</f>
        <v/>
      </c>
      <c r="GY10" s="488">
        <f>IF($B10="","",IFERROR(ROUND(COUNTIF(FR10:GV10,"✓")/(COUNTIF(FR10:GV10,"✓")+COUNTIF(FR10:GV10,"✗"))*100,0),""))</f>
        <v/>
      </c>
    </row>
    <row r="11">
      <c r="A11" s="218" t="n">
        <v>3</v>
      </c>
      <c r="B11" s="219">
        <f>'ข้อมูลนักเรียน'!T11</f>
        <v/>
      </c>
      <c r="C11" s="484">
        <f>IF(B11="","",IFERROR(COUNTIF(D11:GY11,"✓")/(COUNTIF(D11:GY11,"✓")+COUNTIF(D11:GY11,"✗")),""))</f>
        <v/>
      </c>
      <c r="D11" s="48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486">
        <f>IF($B11="","",COUNTIF(D11:AH11,"✓"))</f>
        <v/>
      </c>
      <c r="AJ11" s="487">
        <f>IF($B11="","",COUNTIF(D11:AH11,"✗"))</f>
        <v/>
      </c>
      <c r="AK11" s="488">
        <f>IF($B11="","",IFERROR(ROUND(COUNTIF(D11:AH11,"✓")/(COUNTIF(D11:AH11,"✓")+COUNTIF(D11:AH11,"✗"))*100,0),""))</f>
        <v/>
      </c>
      <c r="AL11" s="48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486">
        <f>IF($B11="","",COUNTIF(AL11:BP11,"✓"))</f>
        <v/>
      </c>
      <c r="BR11" s="487">
        <f>IF($B11="","",COUNTIF(AL11:BP11,"✗"))</f>
        <v/>
      </c>
      <c r="BS11" s="488">
        <f>IF($B11="","",IFERROR(ROUND(COUNTIF(AL11:BP11,"✓")/(COUNTIF(AL11:BP11,"✓")+COUNTIF(AL11:BP11,"✗"))*100,0),""))</f>
        <v/>
      </c>
      <c r="BT11" s="48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486">
        <f>IF($B11="","",COUNTIF(BT11:CX11,"✓"))</f>
        <v/>
      </c>
      <c r="CZ11" s="487">
        <f>IF($B11="","",COUNTIF(BT11:CX11,"✗"))</f>
        <v/>
      </c>
      <c r="DA11" s="488">
        <f>IF($B11="","",IFERROR(ROUND(COUNTIF(BT11:CX11,"✓")/(COUNTIF(BT11:CX11,"✓")+COUNTIF(BT11:CX11,"✗"))*100,0),""))</f>
        <v/>
      </c>
      <c r="DB11" s="48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486">
        <f>IF($B11="","",COUNTIF(DB11:EF11,"✓"))</f>
        <v/>
      </c>
      <c r="EH11" s="487">
        <f>IF($B11="","",COUNTIF(DB11:EF11,"✗"))</f>
        <v/>
      </c>
      <c r="EI11" s="488">
        <f>IF($B11="","",IFERROR(ROUND(COUNTIF(DB11:EF11,"✓")/(COUNTIF(DB11:EF11,"✓")+COUNTIF(DB11:EF11,"✗"))*100,0),""))</f>
        <v/>
      </c>
      <c r="EJ11" s="48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486">
        <f>IF($B11="","",COUNTIF(EJ11:FN11,"✓"))</f>
        <v/>
      </c>
      <c r="FP11" s="487">
        <f>IF($B11="","",COUNTIF(EJ11:FN11,"✗"))</f>
        <v/>
      </c>
      <c r="FQ11" s="488">
        <f>IF($B11="","",IFERROR(ROUND(COUNTIF(EJ11:FN11,"✓")/(COUNTIF(EJ11:FN11,"✓")+COUNTIF(EJ11:FN11,"✗"))*100,0),""))</f>
        <v/>
      </c>
      <c r="FR11" s="485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486">
        <f>IF($B11="","",COUNTIF(FR11:GV11,"✓"))</f>
        <v/>
      </c>
      <c r="GX11" s="487">
        <f>IF($B11="","",COUNTIF(FR11:GV11,"✗"))</f>
        <v/>
      </c>
      <c r="GY11" s="488">
        <f>IF($B11="","",IFERROR(ROUND(COUNTIF(FR11:GV11,"✓")/(COUNTIF(FR11:GV11,"✓")+COUNTIF(FR11:GV11,"✗"))*100,0),""))</f>
        <v/>
      </c>
    </row>
    <row r="12">
      <c r="A12" s="226" t="n">
        <v>4</v>
      </c>
      <c r="B12" s="227">
        <f>'ข้อมูลนักเรียน'!T12</f>
        <v/>
      </c>
      <c r="C12" s="484">
        <f>IF(B12="","",IFERROR(COUNTIF(D12:GY12,"✓")/(COUNTIF(D12:GY12,"✓")+COUNTIF(D12:GY12,"✗")),""))</f>
        <v/>
      </c>
      <c r="D12" s="48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486">
        <f>IF($B12="","",COUNTIF(D12:AH12,"✓"))</f>
        <v/>
      </c>
      <c r="AJ12" s="487">
        <f>IF($B12="","",COUNTIF(D12:AH12,"✗"))</f>
        <v/>
      </c>
      <c r="AK12" s="488">
        <f>IF($B12="","",IFERROR(ROUND(COUNTIF(D12:AH12,"✓")/(COUNTIF(D12:AH12,"✓")+COUNTIF(D12:AH12,"✗"))*100,0),""))</f>
        <v/>
      </c>
      <c r="AL12" s="48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486">
        <f>IF($B12="","",COUNTIF(AL12:BP12,"✓"))</f>
        <v/>
      </c>
      <c r="BR12" s="487">
        <f>IF($B12="","",COUNTIF(AL12:BP12,"✗"))</f>
        <v/>
      </c>
      <c r="BS12" s="488">
        <f>IF($B12="","",IFERROR(ROUND(COUNTIF(AL12:BP12,"✓")/(COUNTIF(AL12:BP12,"✓")+COUNTIF(AL12:BP12,"✗"))*100,0),""))</f>
        <v/>
      </c>
      <c r="BT12" s="48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486">
        <f>IF($B12="","",COUNTIF(BT12:CX12,"✓"))</f>
        <v/>
      </c>
      <c r="CZ12" s="487">
        <f>IF($B12="","",COUNTIF(BT12:CX12,"✗"))</f>
        <v/>
      </c>
      <c r="DA12" s="488">
        <f>IF($B12="","",IFERROR(ROUND(COUNTIF(BT12:CX12,"✓")/(COUNTIF(BT12:CX12,"✓")+COUNTIF(BT12:CX12,"✗"))*100,0),""))</f>
        <v/>
      </c>
      <c r="DB12" s="48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486">
        <f>IF($B12="","",COUNTIF(DB12:EF12,"✓"))</f>
        <v/>
      </c>
      <c r="EH12" s="487">
        <f>IF($B12="","",COUNTIF(DB12:EF12,"✗"))</f>
        <v/>
      </c>
      <c r="EI12" s="488">
        <f>IF($B12="","",IFERROR(ROUND(COUNTIF(DB12:EF12,"✓")/(COUNTIF(DB12:EF12,"✓")+COUNTIF(DB12:EF12,"✗"))*100,0),""))</f>
        <v/>
      </c>
      <c r="EJ12" s="48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486">
        <f>IF($B12="","",COUNTIF(EJ12:FN12,"✓"))</f>
        <v/>
      </c>
      <c r="FP12" s="487">
        <f>IF($B12="","",COUNTIF(EJ12:FN12,"✗"))</f>
        <v/>
      </c>
      <c r="FQ12" s="488">
        <f>IF($B12="","",IFERROR(ROUND(COUNTIF(EJ12:FN12,"✓")/(COUNTIF(EJ12:FN12,"✓")+COUNTIF(EJ12:FN12,"✗"))*100,0),""))</f>
        <v/>
      </c>
      <c r="FR12" s="485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486">
        <f>IF($B12="","",COUNTIF(FR12:GV12,"✓"))</f>
        <v/>
      </c>
      <c r="GX12" s="487">
        <f>IF($B12="","",COUNTIF(FR12:GV12,"✗"))</f>
        <v/>
      </c>
      <c r="GY12" s="488">
        <f>IF($B12="","",IFERROR(ROUND(COUNTIF(FR12:GV12,"✓")/(COUNTIF(FR12:GV12,"✓")+COUNTIF(FR12:GV12,"✗"))*100,0),""))</f>
        <v/>
      </c>
    </row>
    <row r="13">
      <c r="A13" s="218" t="n">
        <v>5</v>
      </c>
      <c r="B13" s="219">
        <f>'ข้อมูลนักเรียน'!T13</f>
        <v/>
      </c>
      <c r="C13" s="484">
        <f>IF(B13="","",IFERROR(COUNTIF(D13:GY13,"✓")/(COUNTIF(D13:GY13,"✓")+COUNTIF(D13:GY13,"✗")),""))</f>
        <v/>
      </c>
      <c r="D13" s="48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486">
        <f>IF($B13="","",COUNTIF(D13:AH13,"✓"))</f>
        <v/>
      </c>
      <c r="AJ13" s="487">
        <f>IF($B13="","",COUNTIF(D13:AH13,"✗"))</f>
        <v/>
      </c>
      <c r="AK13" s="488">
        <f>IF($B13="","",IFERROR(ROUND(COUNTIF(D13:AH13,"✓")/(COUNTIF(D13:AH13,"✓")+COUNTIF(D13:AH13,"✗"))*100,0),""))</f>
        <v/>
      </c>
      <c r="AL13" s="48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486">
        <f>IF($B13="","",COUNTIF(AL13:BP13,"✓"))</f>
        <v/>
      </c>
      <c r="BR13" s="487">
        <f>IF($B13="","",COUNTIF(AL13:BP13,"✗"))</f>
        <v/>
      </c>
      <c r="BS13" s="488">
        <f>IF($B13="","",IFERROR(ROUND(COUNTIF(AL13:BP13,"✓")/(COUNTIF(AL13:BP13,"✓")+COUNTIF(AL13:BP13,"✗"))*100,0),""))</f>
        <v/>
      </c>
      <c r="BT13" s="48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486">
        <f>IF($B13="","",COUNTIF(BT13:CX13,"✓"))</f>
        <v/>
      </c>
      <c r="CZ13" s="487">
        <f>IF($B13="","",COUNTIF(BT13:CX13,"✗"))</f>
        <v/>
      </c>
      <c r="DA13" s="488">
        <f>IF($B13="","",IFERROR(ROUND(COUNTIF(BT13:CX13,"✓")/(COUNTIF(BT13:CX13,"✓")+COUNTIF(BT13:CX13,"✗"))*100,0),""))</f>
        <v/>
      </c>
      <c r="DB13" s="48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486">
        <f>IF($B13="","",COUNTIF(DB13:EF13,"✓"))</f>
        <v/>
      </c>
      <c r="EH13" s="487">
        <f>IF($B13="","",COUNTIF(DB13:EF13,"✗"))</f>
        <v/>
      </c>
      <c r="EI13" s="488">
        <f>IF($B13="","",IFERROR(ROUND(COUNTIF(DB13:EF13,"✓")/(COUNTIF(DB13:EF13,"✓")+COUNTIF(DB13:EF13,"✗"))*100,0),""))</f>
        <v/>
      </c>
      <c r="EJ13" s="48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486">
        <f>IF($B13="","",COUNTIF(EJ13:FN13,"✓"))</f>
        <v/>
      </c>
      <c r="FP13" s="487">
        <f>IF($B13="","",COUNTIF(EJ13:FN13,"✗"))</f>
        <v/>
      </c>
      <c r="FQ13" s="488">
        <f>IF($B13="","",IFERROR(ROUND(COUNTIF(EJ13:FN13,"✓")/(COUNTIF(EJ13:FN13,"✓")+COUNTIF(EJ13:FN13,"✗"))*100,0),""))</f>
        <v/>
      </c>
      <c r="FR13" s="485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486">
        <f>IF($B13="","",COUNTIF(FR13:GV13,"✓"))</f>
        <v/>
      </c>
      <c r="GX13" s="487">
        <f>IF($B13="","",COUNTIF(FR13:GV13,"✗"))</f>
        <v/>
      </c>
      <c r="GY13" s="488">
        <f>IF($B13="","",IFERROR(ROUND(COUNTIF(FR13:GV13,"✓")/(COUNTIF(FR13:GV13,"✓")+COUNTIF(FR13:GV13,"✗"))*100,0),""))</f>
        <v/>
      </c>
    </row>
    <row r="14">
      <c r="A14" s="489" t="inlineStr">
        <is>
          <t>แปรงฟัน (คน)</t>
        </is>
      </c>
      <c r="B14" s="184" t="n"/>
      <c r="C14" s="184" t="n"/>
      <c r="D14" s="490">
        <f>IF(D$4&lt;&gt;1,"",COUNTIF(D9:D13,"✓"))</f>
        <v/>
      </c>
      <c r="E14" s="491">
        <f>IF(E$4&lt;&gt;1,"",COUNTIF(E9:E13,"✓"))</f>
        <v/>
      </c>
      <c r="F14" s="491">
        <f>IF(F$4&lt;&gt;1,"",COUNTIF(F9:F13,"✓"))</f>
        <v/>
      </c>
      <c r="G14" s="491">
        <f>IF(G$4&lt;&gt;1,"",COUNTIF(G9:G13,"✓"))</f>
        <v/>
      </c>
      <c r="H14" s="491">
        <f>IF(H$4&lt;&gt;1,"",COUNTIF(H9:H13,"✓"))</f>
        <v/>
      </c>
      <c r="I14" s="491">
        <f>IF(I$4&lt;&gt;1,"",COUNTIF(I9:I13,"✓"))</f>
        <v/>
      </c>
      <c r="J14" s="491">
        <f>IF(J$4&lt;&gt;1,"",COUNTIF(J9:J13,"✓"))</f>
        <v/>
      </c>
      <c r="K14" s="491">
        <f>IF(K$4&lt;&gt;1,"",COUNTIF(K9:K13,"✓"))</f>
        <v/>
      </c>
      <c r="L14" s="491">
        <f>IF(L$4&lt;&gt;1,"",COUNTIF(L9:L13,"✓"))</f>
        <v/>
      </c>
      <c r="M14" s="491">
        <f>IF(M$4&lt;&gt;1,"",COUNTIF(M9:M13,"✓"))</f>
        <v/>
      </c>
      <c r="N14" s="491">
        <f>IF(N$4&lt;&gt;1,"",COUNTIF(N9:N13,"✓"))</f>
        <v/>
      </c>
      <c r="O14" s="491">
        <f>IF(O$4&lt;&gt;1,"",COUNTIF(O9:O13,"✓"))</f>
        <v/>
      </c>
      <c r="P14" s="491">
        <f>IF(P$4&lt;&gt;1,"",COUNTIF(P9:P13,"✓"))</f>
        <v/>
      </c>
      <c r="Q14" s="491">
        <f>IF(Q$4&lt;&gt;1,"",COUNTIF(Q9:Q13,"✓"))</f>
        <v/>
      </c>
      <c r="R14" s="491">
        <f>IF(R$4&lt;&gt;1,"",COUNTIF(R9:R13,"✓"))</f>
        <v/>
      </c>
      <c r="S14" s="491">
        <f>IF(S$4&lt;&gt;1,"",COUNTIF(S9:S13,"✓"))</f>
        <v/>
      </c>
      <c r="T14" s="491">
        <f>IF(T$4&lt;&gt;1,"",COUNTIF(T9:T13,"✓"))</f>
        <v/>
      </c>
      <c r="U14" s="491">
        <f>IF(U$4&lt;&gt;1,"",COUNTIF(U9:U13,"✓"))</f>
        <v/>
      </c>
      <c r="V14" s="491">
        <f>IF(V$4&lt;&gt;1,"",COUNTIF(V9:V13,"✓"))</f>
        <v/>
      </c>
      <c r="W14" s="491">
        <f>IF(W$4&lt;&gt;1,"",COUNTIF(W9:W13,"✓"))</f>
        <v/>
      </c>
      <c r="X14" s="491">
        <f>IF(X$4&lt;&gt;1,"",COUNTIF(X9:X13,"✓"))</f>
        <v/>
      </c>
      <c r="Y14" s="491">
        <f>IF(Y$4&lt;&gt;1,"",COUNTIF(Y9:Y13,"✓"))</f>
        <v/>
      </c>
      <c r="Z14" s="491">
        <f>IF(Z$4&lt;&gt;1,"",COUNTIF(Z9:Z13,"✓"))</f>
        <v/>
      </c>
      <c r="AA14" s="491">
        <f>IF(AA$4&lt;&gt;1,"",COUNTIF(AA9:AA13,"✓"))</f>
        <v/>
      </c>
      <c r="AB14" s="491">
        <f>IF(AB$4&lt;&gt;1,"",COUNTIF(AB9:AB13,"✓"))</f>
        <v/>
      </c>
      <c r="AC14" s="491">
        <f>IF(AC$4&lt;&gt;1,"",COUNTIF(AC9:AC13,"✓"))</f>
        <v/>
      </c>
      <c r="AD14" s="491">
        <f>IF(AD$4&lt;&gt;1,"",COUNTIF(AD9:AD13,"✓"))</f>
        <v/>
      </c>
      <c r="AE14" s="491">
        <f>IF(AE$4&lt;&gt;1,"",COUNTIF(AE9:AE13,"✓"))</f>
        <v/>
      </c>
      <c r="AF14" s="491">
        <f>IF(AF$4&lt;&gt;1,"",COUNTIF(AF9:AF13,"✓"))</f>
        <v/>
      </c>
      <c r="AG14" s="491">
        <f>IF(AG$4&lt;&gt;1,"",COUNTIF(AG9:AG13,"✓"))</f>
        <v/>
      </c>
      <c r="AH14" s="491">
        <f>IF(AH$4&lt;&gt;1,"",COUNTIF(AH9:AH13,"✓"))</f>
        <v/>
      </c>
      <c r="AI14" s="492">
        <f>SUM(AI9:AI13)</f>
        <v/>
      </c>
      <c r="AJ14" s="493">
        <f>SUM(AJ9:AJ13)</f>
        <v/>
      </c>
      <c r="AK14" s="494">
        <f>IFERROR(AVERAGE(AK9:AK13),"")</f>
        <v/>
      </c>
      <c r="AL14" s="490">
        <f>IF(AL$4&lt;&gt;1,"",COUNTIF(AL9:AL13,"✓"))</f>
        <v/>
      </c>
      <c r="AM14" s="491">
        <f>IF(AM$4&lt;&gt;1,"",COUNTIF(AM9:AM13,"✓"))</f>
        <v/>
      </c>
      <c r="AN14" s="491">
        <f>IF(AN$4&lt;&gt;1,"",COUNTIF(AN9:AN13,"✓"))</f>
        <v/>
      </c>
      <c r="AO14" s="491">
        <f>IF(AO$4&lt;&gt;1,"",COUNTIF(AO9:AO13,"✓"))</f>
        <v/>
      </c>
      <c r="AP14" s="491">
        <f>IF(AP$4&lt;&gt;1,"",COUNTIF(AP9:AP13,"✓"))</f>
        <v/>
      </c>
      <c r="AQ14" s="491">
        <f>IF(AQ$4&lt;&gt;1,"",COUNTIF(AQ9:AQ13,"✓"))</f>
        <v/>
      </c>
      <c r="AR14" s="491">
        <f>IF(AR$4&lt;&gt;1,"",COUNTIF(AR9:AR13,"✓"))</f>
        <v/>
      </c>
      <c r="AS14" s="491">
        <f>IF(AS$4&lt;&gt;1,"",COUNTIF(AS9:AS13,"✓"))</f>
        <v/>
      </c>
      <c r="AT14" s="491">
        <f>IF(AT$4&lt;&gt;1,"",COUNTIF(AT9:AT13,"✓"))</f>
        <v/>
      </c>
      <c r="AU14" s="491">
        <f>IF(AU$4&lt;&gt;1,"",COUNTIF(AU9:AU13,"✓"))</f>
        <v/>
      </c>
      <c r="AV14" s="491">
        <f>IF(AV$4&lt;&gt;1,"",COUNTIF(AV9:AV13,"✓"))</f>
        <v/>
      </c>
      <c r="AW14" s="491">
        <f>IF(AW$4&lt;&gt;1,"",COUNTIF(AW9:AW13,"✓"))</f>
        <v/>
      </c>
      <c r="AX14" s="491">
        <f>IF(AX$4&lt;&gt;1,"",COUNTIF(AX9:AX13,"✓"))</f>
        <v/>
      </c>
      <c r="AY14" s="491">
        <f>IF(AY$4&lt;&gt;1,"",COUNTIF(AY9:AY13,"✓"))</f>
        <v/>
      </c>
      <c r="AZ14" s="491">
        <f>IF(AZ$4&lt;&gt;1,"",COUNTIF(AZ9:AZ13,"✓"))</f>
        <v/>
      </c>
      <c r="BA14" s="491">
        <f>IF(BA$4&lt;&gt;1,"",COUNTIF(BA9:BA13,"✓"))</f>
        <v/>
      </c>
      <c r="BB14" s="491">
        <f>IF(BB$4&lt;&gt;1,"",COUNTIF(BB9:BB13,"✓"))</f>
        <v/>
      </c>
      <c r="BC14" s="491">
        <f>IF(BC$4&lt;&gt;1,"",COUNTIF(BC9:BC13,"✓"))</f>
        <v/>
      </c>
      <c r="BD14" s="491">
        <f>IF(BD$4&lt;&gt;1,"",COUNTIF(BD9:BD13,"✓"))</f>
        <v/>
      </c>
      <c r="BE14" s="491">
        <f>IF(BE$4&lt;&gt;1,"",COUNTIF(BE9:BE13,"✓"))</f>
        <v/>
      </c>
      <c r="BF14" s="491">
        <f>IF(BF$4&lt;&gt;1,"",COUNTIF(BF9:BF13,"✓"))</f>
        <v/>
      </c>
      <c r="BG14" s="491">
        <f>IF(BG$4&lt;&gt;1,"",COUNTIF(BG9:BG13,"✓"))</f>
        <v/>
      </c>
      <c r="BH14" s="491">
        <f>IF(BH$4&lt;&gt;1,"",COUNTIF(BH9:BH13,"✓"))</f>
        <v/>
      </c>
      <c r="BI14" s="491">
        <f>IF(BI$4&lt;&gt;1,"",COUNTIF(BI9:BI13,"✓"))</f>
        <v/>
      </c>
      <c r="BJ14" s="491">
        <f>IF(BJ$4&lt;&gt;1,"",COUNTIF(BJ9:BJ13,"✓"))</f>
        <v/>
      </c>
      <c r="BK14" s="491">
        <f>IF(BK$4&lt;&gt;1,"",COUNTIF(BK9:BK13,"✓"))</f>
        <v/>
      </c>
      <c r="BL14" s="491">
        <f>IF(BL$4&lt;&gt;1,"",COUNTIF(BL9:BL13,"✓"))</f>
        <v/>
      </c>
      <c r="BM14" s="491">
        <f>IF(BM$4&lt;&gt;1,"",COUNTIF(BM9:BM13,"✓"))</f>
        <v/>
      </c>
      <c r="BN14" s="491">
        <f>IF(BN$4&lt;&gt;1,"",COUNTIF(BN9:BN13,"✓"))</f>
        <v/>
      </c>
      <c r="BO14" s="491">
        <f>IF(BO$4&lt;&gt;1,"",COUNTIF(BO9:BO13,"✓"))</f>
        <v/>
      </c>
      <c r="BP14" s="491">
        <f>IF(BP$4&lt;&gt;1,"",COUNTIF(BP9:BP13,"✓"))</f>
        <v/>
      </c>
      <c r="BQ14" s="492">
        <f>SUM(BQ9:BQ13)</f>
        <v/>
      </c>
      <c r="BR14" s="493">
        <f>SUM(BR9:BR13)</f>
        <v/>
      </c>
      <c r="BS14" s="494">
        <f>IFERROR(AVERAGE(BS9:BS13),"")</f>
        <v/>
      </c>
      <c r="BT14" s="490">
        <f>IF(BT$4&lt;&gt;1,"",COUNTIF(BT9:BT13,"✓"))</f>
        <v/>
      </c>
      <c r="BU14" s="491">
        <f>IF(BU$4&lt;&gt;1,"",COUNTIF(BU9:BU13,"✓"))</f>
        <v/>
      </c>
      <c r="BV14" s="491">
        <f>IF(BV$4&lt;&gt;1,"",COUNTIF(BV9:BV13,"✓"))</f>
        <v/>
      </c>
      <c r="BW14" s="491">
        <f>IF(BW$4&lt;&gt;1,"",COUNTIF(BW9:BW13,"✓"))</f>
        <v/>
      </c>
      <c r="BX14" s="491">
        <f>IF(BX$4&lt;&gt;1,"",COUNTIF(BX9:BX13,"✓"))</f>
        <v/>
      </c>
      <c r="BY14" s="491">
        <f>IF(BY$4&lt;&gt;1,"",COUNTIF(BY9:BY13,"✓"))</f>
        <v/>
      </c>
      <c r="BZ14" s="491">
        <f>IF(BZ$4&lt;&gt;1,"",COUNTIF(BZ9:BZ13,"✓"))</f>
        <v/>
      </c>
      <c r="CA14" s="491">
        <f>IF(CA$4&lt;&gt;1,"",COUNTIF(CA9:CA13,"✓"))</f>
        <v/>
      </c>
      <c r="CB14" s="491">
        <f>IF(CB$4&lt;&gt;1,"",COUNTIF(CB9:CB13,"✓"))</f>
        <v/>
      </c>
      <c r="CC14" s="491">
        <f>IF(CC$4&lt;&gt;1,"",COUNTIF(CC9:CC13,"✓"))</f>
        <v/>
      </c>
      <c r="CD14" s="491">
        <f>IF(CD$4&lt;&gt;1,"",COUNTIF(CD9:CD13,"✓"))</f>
        <v/>
      </c>
      <c r="CE14" s="491">
        <f>IF(CE$4&lt;&gt;1,"",COUNTIF(CE9:CE13,"✓"))</f>
        <v/>
      </c>
      <c r="CF14" s="491">
        <f>IF(CF$4&lt;&gt;1,"",COUNTIF(CF9:CF13,"✓"))</f>
        <v/>
      </c>
      <c r="CG14" s="491">
        <f>IF(CG$4&lt;&gt;1,"",COUNTIF(CG9:CG13,"✓"))</f>
        <v/>
      </c>
      <c r="CH14" s="491">
        <f>IF(CH$4&lt;&gt;1,"",COUNTIF(CH9:CH13,"✓"))</f>
        <v/>
      </c>
      <c r="CI14" s="491">
        <f>IF(CI$4&lt;&gt;1,"",COUNTIF(CI9:CI13,"✓"))</f>
        <v/>
      </c>
      <c r="CJ14" s="491">
        <f>IF(CJ$4&lt;&gt;1,"",COUNTIF(CJ9:CJ13,"✓"))</f>
        <v/>
      </c>
      <c r="CK14" s="491">
        <f>IF(CK$4&lt;&gt;1,"",COUNTIF(CK9:CK13,"✓"))</f>
        <v/>
      </c>
      <c r="CL14" s="491">
        <f>IF(CL$4&lt;&gt;1,"",COUNTIF(CL9:CL13,"✓"))</f>
        <v/>
      </c>
      <c r="CM14" s="491">
        <f>IF(CM$4&lt;&gt;1,"",COUNTIF(CM9:CM13,"✓"))</f>
        <v/>
      </c>
      <c r="CN14" s="491">
        <f>IF(CN$4&lt;&gt;1,"",COUNTIF(CN9:CN13,"✓"))</f>
        <v/>
      </c>
      <c r="CO14" s="491">
        <f>IF(CO$4&lt;&gt;1,"",COUNTIF(CO9:CO13,"✓"))</f>
        <v/>
      </c>
      <c r="CP14" s="491">
        <f>IF(CP$4&lt;&gt;1,"",COUNTIF(CP9:CP13,"✓"))</f>
        <v/>
      </c>
      <c r="CQ14" s="491">
        <f>IF(CQ$4&lt;&gt;1,"",COUNTIF(CQ9:CQ13,"✓"))</f>
        <v/>
      </c>
      <c r="CR14" s="491">
        <f>IF(CR$4&lt;&gt;1,"",COUNTIF(CR9:CR13,"✓"))</f>
        <v/>
      </c>
      <c r="CS14" s="491">
        <f>IF(CS$4&lt;&gt;1,"",COUNTIF(CS9:CS13,"✓"))</f>
        <v/>
      </c>
      <c r="CT14" s="491">
        <f>IF(CT$4&lt;&gt;1,"",COUNTIF(CT9:CT13,"✓"))</f>
        <v/>
      </c>
      <c r="CU14" s="491">
        <f>IF(CU$4&lt;&gt;1,"",COUNTIF(CU9:CU13,"✓"))</f>
        <v/>
      </c>
      <c r="CV14" s="491">
        <f>IF(CV$4&lt;&gt;1,"",COUNTIF(CV9:CV13,"✓"))</f>
        <v/>
      </c>
      <c r="CW14" s="491">
        <f>IF(CW$4&lt;&gt;1,"",COUNTIF(CW9:CW13,"✓"))</f>
        <v/>
      </c>
      <c r="CX14" s="491">
        <f>IF(CX$4&lt;&gt;1,"",COUNTIF(CX9:CX13,"✓"))</f>
        <v/>
      </c>
      <c r="CY14" s="492">
        <f>SUM(CY9:CY13)</f>
        <v/>
      </c>
      <c r="CZ14" s="493">
        <f>SUM(CZ9:CZ13)</f>
        <v/>
      </c>
      <c r="DA14" s="494">
        <f>IFERROR(AVERAGE(DA9:DA13),"")</f>
        <v/>
      </c>
      <c r="DB14" s="490">
        <f>IF(DB$4&lt;&gt;1,"",COUNTIF(DB9:DB13,"✓"))</f>
        <v/>
      </c>
      <c r="DC14" s="491">
        <f>IF(DC$4&lt;&gt;1,"",COUNTIF(DC9:DC13,"✓"))</f>
        <v/>
      </c>
      <c r="DD14" s="491">
        <f>IF(DD$4&lt;&gt;1,"",COUNTIF(DD9:DD13,"✓"))</f>
        <v/>
      </c>
      <c r="DE14" s="491">
        <f>IF(DE$4&lt;&gt;1,"",COUNTIF(DE9:DE13,"✓"))</f>
        <v/>
      </c>
      <c r="DF14" s="491">
        <f>IF(DF$4&lt;&gt;1,"",COUNTIF(DF9:DF13,"✓"))</f>
        <v/>
      </c>
      <c r="DG14" s="491">
        <f>IF(DG$4&lt;&gt;1,"",COUNTIF(DG9:DG13,"✓"))</f>
        <v/>
      </c>
      <c r="DH14" s="491">
        <f>IF(DH$4&lt;&gt;1,"",COUNTIF(DH9:DH13,"✓"))</f>
        <v/>
      </c>
      <c r="DI14" s="491">
        <f>IF(DI$4&lt;&gt;1,"",COUNTIF(DI9:DI13,"✓"))</f>
        <v/>
      </c>
      <c r="DJ14" s="491">
        <f>IF(DJ$4&lt;&gt;1,"",COUNTIF(DJ9:DJ13,"✓"))</f>
        <v/>
      </c>
      <c r="DK14" s="491">
        <f>IF(DK$4&lt;&gt;1,"",COUNTIF(DK9:DK13,"✓"))</f>
        <v/>
      </c>
      <c r="DL14" s="491">
        <f>IF(DL$4&lt;&gt;1,"",COUNTIF(DL9:DL13,"✓"))</f>
        <v/>
      </c>
      <c r="DM14" s="491">
        <f>IF(DM$4&lt;&gt;1,"",COUNTIF(DM9:DM13,"✓"))</f>
        <v/>
      </c>
      <c r="DN14" s="491">
        <f>IF(DN$4&lt;&gt;1,"",COUNTIF(DN9:DN13,"✓"))</f>
        <v/>
      </c>
      <c r="DO14" s="491">
        <f>IF(DO$4&lt;&gt;1,"",COUNTIF(DO9:DO13,"✓"))</f>
        <v/>
      </c>
      <c r="DP14" s="491">
        <f>IF(DP$4&lt;&gt;1,"",COUNTIF(DP9:DP13,"✓"))</f>
        <v/>
      </c>
      <c r="DQ14" s="491">
        <f>IF(DQ$4&lt;&gt;1,"",COUNTIF(DQ9:DQ13,"✓"))</f>
        <v/>
      </c>
      <c r="DR14" s="491">
        <f>IF(DR$4&lt;&gt;1,"",COUNTIF(DR9:DR13,"✓"))</f>
        <v/>
      </c>
      <c r="DS14" s="491">
        <f>IF(DS$4&lt;&gt;1,"",COUNTIF(DS9:DS13,"✓"))</f>
        <v/>
      </c>
      <c r="DT14" s="491">
        <f>IF(DT$4&lt;&gt;1,"",COUNTIF(DT9:DT13,"✓"))</f>
        <v/>
      </c>
      <c r="DU14" s="491">
        <f>IF(DU$4&lt;&gt;1,"",COUNTIF(DU9:DU13,"✓"))</f>
        <v/>
      </c>
      <c r="DV14" s="491">
        <f>IF(DV$4&lt;&gt;1,"",COUNTIF(DV9:DV13,"✓"))</f>
        <v/>
      </c>
      <c r="DW14" s="491">
        <f>IF(DW$4&lt;&gt;1,"",COUNTIF(DW9:DW13,"✓"))</f>
        <v/>
      </c>
      <c r="DX14" s="491">
        <f>IF(DX$4&lt;&gt;1,"",COUNTIF(DX9:DX13,"✓"))</f>
        <v/>
      </c>
      <c r="DY14" s="491">
        <f>IF(DY$4&lt;&gt;1,"",COUNTIF(DY9:DY13,"✓"))</f>
        <v/>
      </c>
      <c r="DZ14" s="491">
        <f>IF(DZ$4&lt;&gt;1,"",COUNTIF(DZ9:DZ13,"✓"))</f>
        <v/>
      </c>
      <c r="EA14" s="491">
        <f>IF(EA$4&lt;&gt;1,"",COUNTIF(EA9:EA13,"✓"))</f>
        <v/>
      </c>
      <c r="EB14" s="491">
        <f>IF(EB$4&lt;&gt;1,"",COUNTIF(EB9:EB13,"✓"))</f>
        <v/>
      </c>
      <c r="EC14" s="491">
        <f>IF(EC$4&lt;&gt;1,"",COUNTIF(EC9:EC13,"✓"))</f>
        <v/>
      </c>
      <c r="ED14" s="491">
        <f>IF(ED$4&lt;&gt;1,"",COUNTIF(ED9:ED13,"✓"))</f>
        <v/>
      </c>
      <c r="EE14" s="491">
        <f>IF(EE$4&lt;&gt;1,"",COUNTIF(EE9:EE13,"✓"))</f>
        <v/>
      </c>
      <c r="EF14" s="491">
        <f>IF(EF$4&lt;&gt;1,"",COUNTIF(EF9:EF13,"✓"))</f>
        <v/>
      </c>
      <c r="EG14" s="492">
        <f>SUM(EG9:EG13)</f>
        <v/>
      </c>
      <c r="EH14" s="493">
        <f>SUM(EH9:EH13)</f>
        <v/>
      </c>
      <c r="EI14" s="494">
        <f>IFERROR(AVERAGE(EI9:EI13),"")</f>
        <v/>
      </c>
      <c r="EJ14" s="490">
        <f>IF(EJ$4&lt;&gt;1,"",COUNTIF(EJ9:EJ13,"✓"))</f>
        <v/>
      </c>
      <c r="EK14" s="491">
        <f>IF(EK$4&lt;&gt;1,"",COUNTIF(EK9:EK13,"✓"))</f>
        <v/>
      </c>
      <c r="EL14" s="491">
        <f>IF(EL$4&lt;&gt;1,"",COUNTIF(EL9:EL13,"✓"))</f>
        <v/>
      </c>
      <c r="EM14" s="491">
        <f>IF(EM$4&lt;&gt;1,"",COUNTIF(EM9:EM13,"✓"))</f>
        <v/>
      </c>
      <c r="EN14" s="491">
        <f>IF(EN$4&lt;&gt;1,"",COUNTIF(EN9:EN13,"✓"))</f>
        <v/>
      </c>
      <c r="EO14" s="491">
        <f>IF(EO$4&lt;&gt;1,"",COUNTIF(EO9:EO13,"✓"))</f>
        <v/>
      </c>
      <c r="EP14" s="491">
        <f>IF(EP$4&lt;&gt;1,"",COUNTIF(EP9:EP13,"✓"))</f>
        <v/>
      </c>
      <c r="EQ14" s="491">
        <f>IF(EQ$4&lt;&gt;1,"",COUNTIF(EQ9:EQ13,"✓"))</f>
        <v/>
      </c>
      <c r="ER14" s="491">
        <f>IF(ER$4&lt;&gt;1,"",COUNTIF(ER9:ER13,"✓"))</f>
        <v/>
      </c>
      <c r="ES14" s="491">
        <f>IF(ES$4&lt;&gt;1,"",COUNTIF(ES9:ES13,"✓"))</f>
        <v/>
      </c>
      <c r="ET14" s="491">
        <f>IF(ET$4&lt;&gt;1,"",COUNTIF(ET9:ET13,"✓"))</f>
        <v/>
      </c>
      <c r="EU14" s="491">
        <f>IF(EU$4&lt;&gt;1,"",COUNTIF(EU9:EU13,"✓"))</f>
        <v/>
      </c>
      <c r="EV14" s="491">
        <f>IF(EV$4&lt;&gt;1,"",COUNTIF(EV9:EV13,"✓"))</f>
        <v/>
      </c>
      <c r="EW14" s="491">
        <f>IF(EW$4&lt;&gt;1,"",COUNTIF(EW9:EW13,"✓"))</f>
        <v/>
      </c>
      <c r="EX14" s="491">
        <f>IF(EX$4&lt;&gt;1,"",COUNTIF(EX9:EX13,"✓"))</f>
        <v/>
      </c>
      <c r="EY14" s="491">
        <f>IF(EY$4&lt;&gt;1,"",COUNTIF(EY9:EY13,"✓"))</f>
        <v/>
      </c>
      <c r="EZ14" s="491">
        <f>IF(EZ$4&lt;&gt;1,"",COUNTIF(EZ9:EZ13,"✓"))</f>
        <v/>
      </c>
      <c r="FA14" s="491">
        <f>IF(FA$4&lt;&gt;1,"",COUNTIF(FA9:FA13,"✓"))</f>
        <v/>
      </c>
      <c r="FB14" s="491">
        <f>IF(FB$4&lt;&gt;1,"",COUNTIF(FB9:FB13,"✓"))</f>
        <v/>
      </c>
      <c r="FC14" s="491">
        <f>IF(FC$4&lt;&gt;1,"",COUNTIF(FC9:FC13,"✓"))</f>
        <v/>
      </c>
      <c r="FD14" s="491">
        <f>IF(FD$4&lt;&gt;1,"",COUNTIF(FD9:FD13,"✓"))</f>
        <v/>
      </c>
      <c r="FE14" s="491">
        <f>IF(FE$4&lt;&gt;1,"",COUNTIF(FE9:FE13,"✓"))</f>
        <v/>
      </c>
      <c r="FF14" s="491">
        <f>IF(FF$4&lt;&gt;1,"",COUNTIF(FF9:FF13,"✓"))</f>
        <v/>
      </c>
      <c r="FG14" s="491">
        <f>IF(FG$4&lt;&gt;1,"",COUNTIF(FG9:FG13,"✓"))</f>
        <v/>
      </c>
      <c r="FH14" s="491">
        <f>IF(FH$4&lt;&gt;1,"",COUNTIF(FH9:FH13,"✓"))</f>
        <v/>
      </c>
      <c r="FI14" s="491">
        <f>IF(FI$4&lt;&gt;1,"",COUNTIF(FI9:FI13,"✓"))</f>
        <v/>
      </c>
      <c r="FJ14" s="491">
        <f>IF(FJ$4&lt;&gt;1,"",COUNTIF(FJ9:FJ13,"✓"))</f>
        <v/>
      </c>
      <c r="FK14" s="491">
        <f>IF(FK$4&lt;&gt;1,"",COUNTIF(FK9:FK13,"✓"))</f>
        <v/>
      </c>
      <c r="FL14" s="491">
        <f>IF(FL$4&lt;&gt;1,"",COUNTIF(FL9:FL13,"✓"))</f>
        <v/>
      </c>
      <c r="FM14" s="491">
        <f>IF(FM$4&lt;&gt;1,"",COUNTIF(FM9:FM13,"✓"))</f>
        <v/>
      </c>
      <c r="FN14" s="491">
        <f>IF(FN$4&lt;&gt;1,"",COUNTIF(FN9:FN13,"✓"))</f>
        <v/>
      </c>
      <c r="FO14" s="492">
        <f>SUM(FO9:FO13)</f>
        <v/>
      </c>
      <c r="FP14" s="493">
        <f>SUM(FP9:FP13)</f>
        <v/>
      </c>
      <c r="FQ14" s="494">
        <f>IFERROR(AVERAGE(FQ9:FQ13),"")</f>
        <v/>
      </c>
      <c r="FR14" s="490">
        <f>IF(FR$4&lt;&gt;1,"",COUNTIF(FR9:FR13,"✓"))</f>
        <v/>
      </c>
      <c r="FS14" s="491">
        <f>IF(FS$4&lt;&gt;1,"",COUNTIF(FS9:FS13,"✓"))</f>
        <v/>
      </c>
      <c r="FT14" s="491">
        <f>IF(FT$4&lt;&gt;1,"",COUNTIF(FT9:FT13,"✓"))</f>
        <v/>
      </c>
      <c r="FU14" s="491">
        <f>IF(FU$4&lt;&gt;1,"",COUNTIF(FU9:FU13,"✓"))</f>
        <v/>
      </c>
      <c r="FV14" s="491">
        <f>IF(FV$4&lt;&gt;1,"",COUNTIF(FV9:FV13,"✓"))</f>
        <v/>
      </c>
      <c r="FW14" s="491">
        <f>IF(FW$4&lt;&gt;1,"",COUNTIF(FW9:FW13,"✓"))</f>
        <v/>
      </c>
      <c r="FX14" s="491">
        <f>IF(FX$4&lt;&gt;1,"",COUNTIF(FX9:FX13,"✓"))</f>
        <v/>
      </c>
      <c r="FY14" s="491">
        <f>IF(FY$4&lt;&gt;1,"",COUNTIF(FY9:FY13,"✓"))</f>
        <v/>
      </c>
      <c r="FZ14" s="491">
        <f>IF(FZ$4&lt;&gt;1,"",COUNTIF(FZ9:FZ13,"✓"))</f>
        <v/>
      </c>
      <c r="GA14" s="491">
        <f>IF(GA$4&lt;&gt;1,"",COUNTIF(GA9:GA13,"✓"))</f>
        <v/>
      </c>
      <c r="GB14" s="491">
        <f>IF(GB$4&lt;&gt;1,"",COUNTIF(GB9:GB13,"✓"))</f>
        <v/>
      </c>
      <c r="GC14" s="491">
        <f>IF(GC$4&lt;&gt;1,"",COUNTIF(GC9:GC13,"✓"))</f>
        <v/>
      </c>
      <c r="GD14" s="491">
        <f>IF(GD$4&lt;&gt;1,"",COUNTIF(GD9:GD13,"✓"))</f>
        <v/>
      </c>
      <c r="GE14" s="491">
        <f>IF(GE$4&lt;&gt;1,"",COUNTIF(GE9:GE13,"✓"))</f>
        <v/>
      </c>
      <c r="GF14" s="491">
        <f>IF(GF$4&lt;&gt;1,"",COUNTIF(GF9:GF13,"✓"))</f>
        <v/>
      </c>
      <c r="GG14" s="491">
        <f>IF(GG$4&lt;&gt;1,"",COUNTIF(GG9:GG13,"✓"))</f>
        <v/>
      </c>
      <c r="GH14" s="491">
        <f>IF(GH$4&lt;&gt;1,"",COUNTIF(GH9:GH13,"✓"))</f>
        <v/>
      </c>
      <c r="GI14" s="491">
        <f>IF(GI$4&lt;&gt;1,"",COUNTIF(GI9:GI13,"✓"))</f>
        <v/>
      </c>
      <c r="GJ14" s="491">
        <f>IF(GJ$4&lt;&gt;1,"",COUNTIF(GJ9:GJ13,"✓"))</f>
        <v/>
      </c>
      <c r="GK14" s="491">
        <f>IF(GK$4&lt;&gt;1,"",COUNTIF(GK9:GK13,"✓"))</f>
        <v/>
      </c>
      <c r="GL14" s="491">
        <f>IF(GL$4&lt;&gt;1,"",COUNTIF(GL9:GL13,"✓"))</f>
        <v/>
      </c>
      <c r="GM14" s="491">
        <f>IF(GM$4&lt;&gt;1,"",COUNTIF(GM9:GM13,"✓"))</f>
        <v/>
      </c>
      <c r="GN14" s="491">
        <f>IF(GN$4&lt;&gt;1,"",COUNTIF(GN9:GN13,"✓"))</f>
        <v/>
      </c>
      <c r="GO14" s="491">
        <f>IF(GO$4&lt;&gt;1,"",COUNTIF(GO9:GO13,"✓"))</f>
        <v/>
      </c>
      <c r="GP14" s="491">
        <f>IF(GP$4&lt;&gt;1,"",COUNTIF(GP9:GP13,"✓"))</f>
        <v/>
      </c>
      <c r="GQ14" s="491">
        <f>IF(GQ$4&lt;&gt;1,"",COUNTIF(GQ9:GQ13,"✓"))</f>
        <v/>
      </c>
      <c r="GR14" s="491">
        <f>IF(GR$4&lt;&gt;1,"",COUNTIF(GR9:GR13,"✓"))</f>
        <v/>
      </c>
      <c r="GS14" s="491">
        <f>IF(GS$4&lt;&gt;1,"",COUNTIF(GS9:GS13,"✓"))</f>
        <v/>
      </c>
      <c r="GT14" s="491">
        <f>IF(GT$4&lt;&gt;1,"",COUNTIF(GT9:GT13,"✓"))</f>
        <v/>
      </c>
      <c r="GU14" s="491">
        <f>IF(GU$4&lt;&gt;1,"",COUNTIF(GU9:GU13,"✓"))</f>
        <v/>
      </c>
      <c r="GV14" s="491">
        <f>IF(GV$4&lt;&gt;1,"",COUNTIF(GV9:GV13,"✓"))</f>
        <v/>
      </c>
      <c r="GW14" s="492">
        <f>SUM(GW9:GW13)</f>
        <v/>
      </c>
      <c r="GX14" s="493">
        <f>SUM(GX9:GX13)</f>
        <v/>
      </c>
      <c r="GY14" s="494">
        <f>IFERROR(AVERAGE(GY9:GY13),"")</f>
        <v/>
      </c>
    </row>
    <row r="15">
      <c r="A15" s="489" t="inlineStr">
        <is>
          <t>ไม่แปรง (คน)</t>
        </is>
      </c>
      <c r="B15" s="184" t="n"/>
      <c r="C15" s="184" t="n"/>
      <c r="D15" s="490">
        <f>IF(D$4&lt;&gt;1,"",COUNTIF(D9:D13,"✗"))</f>
        <v/>
      </c>
      <c r="E15" s="491">
        <f>IF(E$4&lt;&gt;1,"",COUNTIF(E9:E13,"✗"))</f>
        <v/>
      </c>
      <c r="F15" s="491">
        <f>IF(F$4&lt;&gt;1,"",COUNTIF(F9:F13,"✗"))</f>
        <v/>
      </c>
      <c r="G15" s="491">
        <f>IF(G$4&lt;&gt;1,"",COUNTIF(G9:G13,"✗"))</f>
        <v/>
      </c>
      <c r="H15" s="491">
        <f>IF(H$4&lt;&gt;1,"",COUNTIF(H9:H13,"✗"))</f>
        <v/>
      </c>
      <c r="I15" s="491">
        <f>IF(I$4&lt;&gt;1,"",COUNTIF(I9:I13,"✗"))</f>
        <v/>
      </c>
      <c r="J15" s="491">
        <f>IF(J$4&lt;&gt;1,"",COUNTIF(J9:J13,"✗"))</f>
        <v/>
      </c>
      <c r="K15" s="491">
        <f>IF(K$4&lt;&gt;1,"",COUNTIF(K9:K13,"✗"))</f>
        <v/>
      </c>
      <c r="L15" s="491">
        <f>IF(L$4&lt;&gt;1,"",COUNTIF(L9:L13,"✗"))</f>
        <v/>
      </c>
      <c r="M15" s="491">
        <f>IF(M$4&lt;&gt;1,"",COUNTIF(M9:M13,"✗"))</f>
        <v/>
      </c>
      <c r="N15" s="491">
        <f>IF(N$4&lt;&gt;1,"",COUNTIF(N9:N13,"✗"))</f>
        <v/>
      </c>
      <c r="O15" s="491">
        <f>IF(O$4&lt;&gt;1,"",COUNTIF(O9:O13,"✗"))</f>
        <v/>
      </c>
      <c r="P15" s="491">
        <f>IF(P$4&lt;&gt;1,"",COUNTIF(P9:P13,"✗"))</f>
        <v/>
      </c>
      <c r="Q15" s="491">
        <f>IF(Q$4&lt;&gt;1,"",COUNTIF(Q9:Q13,"✗"))</f>
        <v/>
      </c>
      <c r="R15" s="491">
        <f>IF(R$4&lt;&gt;1,"",COUNTIF(R9:R13,"✗"))</f>
        <v/>
      </c>
      <c r="S15" s="491">
        <f>IF(S$4&lt;&gt;1,"",COUNTIF(S9:S13,"✗"))</f>
        <v/>
      </c>
      <c r="T15" s="491">
        <f>IF(T$4&lt;&gt;1,"",COUNTIF(T9:T13,"✗"))</f>
        <v/>
      </c>
      <c r="U15" s="491">
        <f>IF(U$4&lt;&gt;1,"",COUNTIF(U9:U13,"✗"))</f>
        <v/>
      </c>
      <c r="V15" s="491">
        <f>IF(V$4&lt;&gt;1,"",COUNTIF(V9:V13,"✗"))</f>
        <v/>
      </c>
      <c r="W15" s="491">
        <f>IF(W$4&lt;&gt;1,"",COUNTIF(W9:W13,"✗"))</f>
        <v/>
      </c>
      <c r="X15" s="491">
        <f>IF(X$4&lt;&gt;1,"",COUNTIF(X9:X13,"✗"))</f>
        <v/>
      </c>
      <c r="Y15" s="491">
        <f>IF(Y$4&lt;&gt;1,"",COUNTIF(Y9:Y13,"✗"))</f>
        <v/>
      </c>
      <c r="Z15" s="491">
        <f>IF(Z$4&lt;&gt;1,"",COUNTIF(Z9:Z13,"✗"))</f>
        <v/>
      </c>
      <c r="AA15" s="491">
        <f>IF(AA$4&lt;&gt;1,"",COUNTIF(AA9:AA13,"✗"))</f>
        <v/>
      </c>
      <c r="AB15" s="491">
        <f>IF(AB$4&lt;&gt;1,"",COUNTIF(AB9:AB13,"✗"))</f>
        <v/>
      </c>
      <c r="AC15" s="491">
        <f>IF(AC$4&lt;&gt;1,"",COUNTIF(AC9:AC13,"✗"))</f>
        <v/>
      </c>
      <c r="AD15" s="491">
        <f>IF(AD$4&lt;&gt;1,"",COUNTIF(AD9:AD13,"✗"))</f>
        <v/>
      </c>
      <c r="AE15" s="491">
        <f>IF(AE$4&lt;&gt;1,"",COUNTIF(AE9:AE13,"✗"))</f>
        <v/>
      </c>
      <c r="AF15" s="491">
        <f>IF(AF$4&lt;&gt;1,"",COUNTIF(AF9:AF13,"✗"))</f>
        <v/>
      </c>
      <c r="AG15" s="491">
        <f>IF(AG$4&lt;&gt;1,"",COUNTIF(AG9:AG13,"✗"))</f>
        <v/>
      </c>
      <c r="AH15" s="491">
        <f>IF(AH$4&lt;&gt;1,"",COUNTIF(AH9:AH13,"✗"))</f>
        <v/>
      </c>
      <c r="AI15" s="492" t="n"/>
      <c r="AJ15" s="493" t="n"/>
      <c r="AK15" s="494" t="n"/>
      <c r="AL15" s="490">
        <f>IF(AL$4&lt;&gt;1,"",COUNTIF(AL9:AL13,"✗"))</f>
        <v/>
      </c>
      <c r="AM15" s="491">
        <f>IF(AM$4&lt;&gt;1,"",COUNTIF(AM9:AM13,"✗"))</f>
        <v/>
      </c>
      <c r="AN15" s="491">
        <f>IF(AN$4&lt;&gt;1,"",COUNTIF(AN9:AN13,"✗"))</f>
        <v/>
      </c>
      <c r="AO15" s="491">
        <f>IF(AO$4&lt;&gt;1,"",COUNTIF(AO9:AO13,"✗"))</f>
        <v/>
      </c>
      <c r="AP15" s="491">
        <f>IF(AP$4&lt;&gt;1,"",COUNTIF(AP9:AP13,"✗"))</f>
        <v/>
      </c>
      <c r="AQ15" s="491">
        <f>IF(AQ$4&lt;&gt;1,"",COUNTIF(AQ9:AQ13,"✗"))</f>
        <v/>
      </c>
      <c r="AR15" s="491">
        <f>IF(AR$4&lt;&gt;1,"",COUNTIF(AR9:AR13,"✗"))</f>
        <v/>
      </c>
      <c r="AS15" s="491">
        <f>IF(AS$4&lt;&gt;1,"",COUNTIF(AS9:AS13,"✗"))</f>
        <v/>
      </c>
      <c r="AT15" s="491">
        <f>IF(AT$4&lt;&gt;1,"",COUNTIF(AT9:AT13,"✗"))</f>
        <v/>
      </c>
      <c r="AU15" s="491">
        <f>IF(AU$4&lt;&gt;1,"",COUNTIF(AU9:AU13,"✗"))</f>
        <v/>
      </c>
      <c r="AV15" s="491">
        <f>IF(AV$4&lt;&gt;1,"",COUNTIF(AV9:AV13,"✗"))</f>
        <v/>
      </c>
      <c r="AW15" s="491">
        <f>IF(AW$4&lt;&gt;1,"",COUNTIF(AW9:AW13,"✗"))</f>
        <v/>
      </c>
      <c r="AX15" s="491">
        <f>IF(AX$4&lt;&gt;1,"",COUNTIF(AX9:AX13,"✗"))</f>
        <v/>
      </c>
      <c r="AY15" s="491">
        <f>IF(AY$4&lt;&gt;1,"",COUNTIF(AY9:AY13,"✗"))</f>
        <v/>
      </c>
      <c r="AZ15" s="491">
        <f>IF(AZ$4&lt;&gt;1,"",COUNTIF(AZ9:AZ13,"✗"))</f>
        <v/>
      </c>
      <c r="BA15" s="491">
        <f>IF(BA$4&lt;&gt;1,"",COUNTIF(BA9:BA13,"✗"))</f>
        <v/>
      </c>
      <c r="BB15" s="491">
        <f>IF(BB$4&lt;&gt;1,"",COUNTIF(BB9:BB13,"✗"))</f>
        <v/>
      </c>
      <c r="BC15" s="491">
        <f>IF(BC$4&lt;&gt;1,"",COUNTIF(BC9:BC13,"✗"))</f>
        <v/>
      </c>
      <c r="BD15" s="491">
        <f>IF(BD$4&lt;&gt;1,"",COUNTIF(BD9:BD13,"✗"))</f>
        <v/>
      </c>
      <c r="BE15" s="491">
        <f>IF(BE$4&lt;&gt;1,"",COUNTIF(BE9:BE13,"✗"))</f>
        <v/>
      </c>
      <c r="BF15" s="491">
        <f>IF(BF$4&lt;&gt;1,"",COUNTIF(BF9:BF13,"✗"))</f>
        <v/>
      </c>
      <c r="BG15" s="491">
        <f>IF(BG$4&lt;&gt;1,"",COUNTIF(BG9:BG13,"✗"))</f>
        <v/>
      </c>
      <c r="BH15" s="491">
        <f>IF(BH$4&lt;&gt;1,"",COUNTIF(BH9:BH13,"✗"))</f>
        <v/>
      </c>
      <c r="BI15" s="491">
        <f>IF(BI$4&lt;&gt;1,"",COUNTIF(BI9:BI13,"✗"))</f>
        <v/>
      </c>
      <c r="BJ15" s="491">
        <f>IF(BJ$4&lt;&gt;1,"",COUNTIF(BJ9:BJ13,"✗"))</f>
        <v/>
      </c>
      <c r="BK15" s="491">
        <f>IF(BK$4&lt;&gt;1,"",COUNTIF(BK9:BK13,"✗"))</f>
        <v/>
      </c>
      <c r="BL15" s="491">
        <f>IF(BL$4&lt;&gt;1,"",COUNTIF(BL9:BL13,"✗"))</f>
        <v/>
      </c>
      <c r="BM15" s="491">
        <f>IF(BM$4&lt;&gt;1,"",COUNTIF(BM9:BM13,"✗"))</f>
        <v/>
      </c>
      <c r="BN15" s="491">
        <f>IF(BN$4&lt;&gt;1,"",COUNTIF(BN9:BN13,"✗"))</f>
        <v/>
      </c>
      <c r="BO15" s="491">
        <f>IF(BO$4&lt;&gt;1,"",COUNTIF(BO9:BO13,"✗"))</f>
        <v/>
      </c>
      <c r="BP15" s="491">
        <f>IF(BP$4&lt;&gt;1,"",COUNTIF(BP9:BP13,"✗"))</f>
        <v/>
      </c>
      <c r="BQ15" s="492" t="n"/>
      <c r="BR15" s="493" t="n"/>
      <c r="BS15" s="494" t="n"/>
      <c r="BT15" s="490">
        <f>IF(BT$4&lt;&gt;1,"",COUNTIF(BT9:BT13,"✗"))</f>
        <v/>
      </c>
      <c r="BU15" s="491">
        <f>IF(BU$4&lt;&gt;1,"",COUNTIF(BU9:BU13,"✗"))</f>
        <v/>
      </c>
      <c r="BV15" s="491">
        <f>IF(BV$4&lt;&gt;1,"",COUNTIF(BV9:BV13,"✗"))</f>
        <v/>
      </c>
      <c r="BW15" s="491">
        <f>IF(BW$4&lt;&gt;1,"",COUNTIF(BW9:BW13,"✗"))</f>
        <v/>
      </c>
      <c r="BX15" s="491">
        <f>IF(BX$4&lt;&gt;1,"",COUNTIF(BX9:BX13,"✗"))</f>
        <v/>
      </c>
      <c r="BY15" s="491">
        <f>IF(BY$4&lt;&gt;1,"",COUNTIF(BY9:BY13,"✗"))</f>
        <v/>
      </c>
      <c r="BZ15" s="491">
        <f>IF(BZ$4&lt;&gt;1,"",COUNTIF(BZ9:BZ13,"✗"))</f>
        <v/>
      </c>
      <c r="CA15" s="491">
        <f>IF(CA$4&lt;&gt;1,"",COUNTIF(CA9:CA13,"✗"))</f>
        <v/>
      </c>
      <c r="CB15" s="491">
        <f>IF(CB$4&lt;&gt;1,"",COUNTIF(CB9:CB13,"✗"))</f>
        <v/>
      </c>
      <c r="CC15" s="491">
        <f>IF(CC$4&lt;&gt;1,"",COUNTIF(CC9:CC13,"✗"))</f>
        <v/>
      </c>
      <c r="CD15" s="491">
        <f>IF(CD$4&lt;&gt;1,"",COUNTIF(CD9:CD13,"✗"))</f>
        <v/>
      </c>
      <c r="CE15" s="491">
        <f>IF(CE$4&lt;&gt;1,"",COUNTIF(CE9:CE13,"✗"))</f>
        <v/>
      </c>
      <c r="CF15" s="491">
        <f>IF(CF$4&lt;&gt;1,"",COUNTIF(CF9:CF13,"✗"))</f>
        <v/>
      </c>
      <c r="CG15" s="491">
        <f>IF(CG$4&lt;&gt;1,"",COUNTIF(CG9:CG13,"✗"))</f>
        <v/>
      </c>
      <c r="CH15" s="491">
        <f>IF(CH$4&lt;&gt;1,"",COUNTIF(CH9:CH13,"✗"))</f>
        <v/>
      </c>
      <c r="CI15" s="491">
        <f>IF(CI$4&lt;&gt;1,"",COUNTIF(CI9:CI13,"✗"))</f>
        <v/>
      </c>
      <c r="CJ15" s="491">
        <f>IF(CJ$4&lt;&gt;1,"",COUNTIF(CJ9:CJ13,"✗"))</f>
        <v/>
      </c>
      <c r="CK15" s="491">
        <f>IF(CK$4&lt;&gt;1,"",COUNTIF(CK9:CK13,"✗"))</f>
        <v/>
      </c>
      <c r="CL15" s="491">
        <f>IF(CL$4&lt;&gt;1,"",COUNTIF(CL9:CL13,"✗"))</f>
        <v/>
      </c>
      <c r="CM15" s="491">
        <f>IF(CM$4&lt;&gt;1,"",COUNTIF(CM9:CM13,"✗"))</f>
        <v/>
      </c>
      <c r="CN15" s="491">
        <f>IF(CN$4&lt;&gt;1,"",COUNTIF(CN9:CN13,"✗"))</f>
        <v/>
      </c>
      <c r="CO15" s="491">
        <f>IF(CO$4&lt;&gt;1,"",COUNTIF(CO9:CO13,"✗"))</f>
        <v/>
      </c>
      <c r="CP15" s="491">
        <f>IF(CP$4&lt;&gt;1,"",COUNTIF(CP9:CP13,"✗"))</f>
        <v/>
      </c>
      <c r="CQ15" s="491">
        <f>IF(CQ$4&lt;&gt;1,"",COUNTIF(CQ9:CQ13,"✗"))</f>
        <v/>
      </c>
      <c r="CR15" s="491">
        <f>IF(CR$4&lt;&gt;1,"",COUNTIF(CR9:CR13,"✗"))</f>
        <v/>
      </c>
      <c r="CS15" s="491">
        <f>IF(CS$4&lt;&gt;1,"",COUNTIF(CS9:CS13,"✗"))</f>
        <v/>
      </c>
      <c r="CT15" s="491">
        <f>IF(CT$4&lt;&gt;1,"",COUNTIF(CT9:CT13,"✗"))</f>
        <v/>
      </c>
      <c r="CU15" s="491">
        <f>IF(CU$4&lt;&gt;1,"",COUNTIF(CU9:CU13,"✗"))</f>
        <v/>
      </c>
      <c r="CV15" s="491">
        <f>IF(CV$4&lt;&gt;1,"",COUNTIF(CV9:CV13,"✗"))</f>
        <v/>
      </c>
      <c r="CW15" s="491">
        <f>IF(CW$4&lt;&gt;1,"",COUNTIF(CW9:CW13,"✗"))</f>
        <v/>
      </c>
      <c r="CX15" s="491">
        <f>IF(CX$4&lt;&gt;1,"",COUNTIF(CX9:CX13,"✗"))</f>
        <v/>
      </c>
      <c r="CY15" s="492" t="n"/>
      <c r="CZ15" s="493" t="n"/>
      <c r="DA15" s="494" t="n"/>
      <c r="DB15" s="490">
        <f>IF(DB$4&lt;&gt;1,"",COUNTIF(DB9:DB13,"✗"))</f>
        <v/>
      </c>
      <c r="DC15" s="491">
        <f>IF(DC$4&lt;&gt;1,"",COUNTIF(DC9:DC13,"✗"))</f>
        <v/>
      </c>
      <c r="DD15" s="491">
        <f>IF(DD$4&lt;&gt;1,"",COUNTIF(DD9:DD13,"✗"))</f>
        <v/>
      </c>
      <c r="DE15" s="491">
        <f>IF(DE$4&lt;&gt;1,"",COUNTIF(DE9:DE13,"✗"))</f>
        <v/>
      </c>
      <c r="DF15" s="491">
        <f>IF(DF$4&lt;&gt;1,"",COUNTIF(DF9:DF13,"✗"))</f>
        <v/>
      </c>
      <c r="DG15" s="491">
        <f>IF(DG$4&lt;&gt;1,"",COUNTIF(DG9:DG13,"✗"))</f>
        <v/>
      </c>
      <c r="DH15" s="491">
        <f>IF(DH$4&lt;&gt;1,"",COUNTIF(DH9:DH13,"✗"))</f>
        <v/>
      </c>
      <c r="DI15" s="491">
        <f>IF(DI$4&lt;&gt;1,"",COUNTIF(DI9:DI13,"✗"))</f>
        <v/>
      </c>
      <c r="DJ15" s="491">
        <f>IF(DJ$4&lt;&gt;1,"",COUNTIF(DJ9:DJ13,"✗"))</f>
        <v/>
      </c>
      <c r="DK15" s="491">
        <f>IF(DK$4&lt;&gt;1,"",COUNTIF(DK9:DK13,"✗"))</f>
        <v/>
      </c>
      <c r="DL15" s="491">
        <f>IF(DL$4&lt;&gt;1,"",COUNTIF(DL9:DL13,"✗"))</f>
        <v/>
      </c>
      <c r="DM15" s="491">
        <f>IF(DM$4&lt;&gt;1,"",COUNTIF(DM9:DM13,"✗"))</f>
        <v/>
      </c>
      <c r="DN15" s="491">
        <f>IF(DN$4&lt;&gt;1,"",COUNTIF(DN9:DN13,"✗"))</f>
        <v/>
      </c>
      <c r="DO15" s="491">
        <f>IF(DO$4&lt;&gt;1,"",COUNTIF(DO9:DO13,"✗"))</f>
        <v/>
      </c>
      <c r="DP15" s="491">
        <f>IF(DP$4&lt;&gt;1,"",COUNTIF(DP9:DP13,"✗"))</f>
        <v/>
      </c>
      <c r="DQ15" s="491">
        <f>IF(DQ$4&lt;&gt;1,"",COUNTIF(DQ9:DQ13,"✗"))</f>
        <v/>
      </c>
      <c r="DR15" s="491">
        <f>IF(DR$4&lt;&gt;1,"",COUNTIF(DR9:DR13,"✗"))</f>
        <v/>
      </c>
      <c r="DS15" s="491">
        <f>IF(DS$4&lt;&gt;1,"",COUNTIF(DS9:DS13,"✗"))</f>
        <v/>
      </c>
      <c r="DT15" s="491">
        <f>IF(DT$4&lt;&gt;1,"",COUNTIF(DT9:DT13,"✗"))</f>
        <v/>
      </c>
      <c r="DU15" s="491">
        <f>IF(DU$4&lt;&gt;1,"",COUNTIF(DU9:DU13,"✗"))</f>
        <v/>
      </c>
      <c r="DV15" s="491">
        <f>IF(DV$4&lt;&gt;1,"",COUNTIF(DV9:DV13,"✗"))</f>
        <v/>
      </c>
      <c r="DW15" s="491">
        <f>IF(DW$4&lt;&gt;1,"",COUNTIF(DW9:DW13,"✗"))</f>
        <v/>
      </c>
      <c r="DX15" s="491">
        <f>IF(DX$4&lt;&gt;1,"",COUNTIF(DX9:DX13,"✗"))</f>
        <v/>
      </c>
      <c r="DY15" s="491">
        <f>IF(DY$4&lt;&gt;1,"",COUNTIF(DY9:DY13,"✗"))</f>
        <v/>
      </c>
      <c r="DZ15" s="491">
        <f>IF(DZ$4&lt;&gt;1,"",COUNTIF(DZ9:DZ13,"✗"))</f>
        <v/>
      </c>
      <c r="EA15" s="491">
        <f>IF(EA$4&lt;&gt;1,"",COUNTIF(EA9:EA13,"✗"))</f>
        <v/>
      </c>
      <c r="EB15" s="491">
        <f>IF(EB$4&lt;&gt;1,"",COUNTIF(EB9:EB13,"✗"))</f>
        <v/>
      </c>
      <c r="EC15" s="491">
        <f>IF(EC$4&lt;&gt;1,"",COUNTIF(EC9:EC13,"✗"))</f>
        <v/>
      </c>
      <c r="ED15" s="491">
        <f>IF(ED$4&lt;&gt;1,"",COUNTIF(ED9:ED13,"✗"))</f>
        <v/>
      </c>
      <c r="EE15" s="491">
        <f>IF(EE$4&lt;&gt;1,"",COUNTIF(EE9:EE13,"✗"))</f>
        <v/>
      </c>
      <c r="EF15" s="491">
        <f>IF(EF$4&lt;&gt;1,"",COUNTIF(EF9:EF13,"✗"))</f>
        <v/>
      </c>
      <c r="EG15" s="492" t="n"/>
      <c r="EH15" s="493" t="n"/>
      <c r="EI15" s="494" t="n"/>
      <c r="EJ15" s="490">
        <f>IF(EJ$4&lt;&gt;1,"",COUNTIF(EJ9:EJ13,"✗"))</f>
        <v/>
      </c>
      <c r="EK15" s="491">
        <f>IF(EK$4&lt;&gt;1,"",COUNTIF(EK9:EK13,"✗"))</f>
        <v/>
      </c>
      <c r="EL15" s="491">
        <f>IF(EL$4&lt;&gt;1,"",COUNTIF(EL9:EL13,"✗"))</f>
        <v/>
      </c>
      <c r="EM15" s="491">
        <f>IF(EM$4&lt;&gt;1,"",COUNTIF(EM9:EM13,"✗"))</f>
        <v/>
      </c>
      <c r="EN15" s="491">
        <f>IF(EN$4&lt;&gt;1,"",COUNTIF(EN9:EN13,"✗"))</f>
        <v/>
      </c>
      <c r="EO15" s="491">
        <f>IF(EO$4&lt;&gt;1,"",COUNTIF(EO9:EO13,"✗"))</f>
        <v/>
      </c>
      <c r="EP15" s="491">
        <f>IF(EP$4&lt;&gt;1,"",COUNTIF(EP9:EP13,"✗"))</f>
        <v/>
      </c>
      <c r="EQ15" s="491">
        <f>IF(EQ$4&lt;&gt;1,"",COUNTIF(EQ9:EQ13,"✗"))</f>
        <v/>
      </c>
      <c r="ER15" s="491">
        <f>IF(ER$4&lt;&gt;1,"",COUNTIF(ER9:ER13,"✗"))</f>
        <v/>
      </c>
      <c r="ES15" s="491">
        <f>IF(ES$4&lt;&gt;1,"",COUNTIF(ES9:ES13,"✗"))</f>
        <v/>
      </c>
      <c r="ET15" s="491">
        <f>IF(ET$4&lt;&gt;1,"",COUNTIF(ET9:ET13,"✗"))</f>
        <v/>
      </c>
      <c r="EU15" s="491">
        <f>IF(EU$4&lt;&gt;1,"",COUNTIF(EU9:EU13,"✗"))</f>
        <v/>
      </c>
      <c r="EV15" s="491">
        <f>IF(EV$4&lt;&gt;1,"",COUNTIF(EV9:EV13,"✗"))</f>
        <v/>
      </c>
      <c r="EW15" s="491">
        <f>IF(EW$4&lt;&gt;1,"",COUNTIF(EW9:EW13,"✗"))</f>
        <v/>
      </c>
      <c r="EX15" s="491">
        <f>IF(EX$4&lt;&gt;1,"",COUNTIF(EX9:EX13,"✗"))</f>
        <v/>
      </c>
      <c r="EY15" s="491">
        <f>IF(EY$4&lt;&gt;1,"",COUNTIF(EY9:EY13,"✗"))</f>
        <v/>
      </c>
      <c r="EZ15" s="491">
        <f>IF(EZ$4&lt;&gt;1,"",COUNTIF(EZ9:EZ13,"✗"))</f>
        <v/>
      </c>
      <c r="FA15" s="491">
        <f>IF(FA$4&lt;&gt;1,"",COUNTIF(FA9:FA13,"✗"))</f>
        <v/>
      </c>
      <c r="FB15" s="491">
        <f>IF(FB$4&lt;&gt;1,"",COUNTIF(FB9:FB13,"✗"))</f>
        <v/>
      </c>
      <c r="FC15" s="491">
        <f>IF(FC$4&lt;&gt;1,"",COUNTIF(FC9:FC13,"✗"))</f>
        <v/>
      </c>
      <c r="FD15" s="491">
        <f>IF(FD$4&lt;&gt;1,"",COUNTIF(FD9:FD13,"✗"))</f>
        <v/>
      </c>
      <c r="FE15" s="491">
        <f>IF(FE$4&lt;&gt;1,"",COUNTIF(FE9:FE13,"✗"))</f>
        <v/>
      </c>
      <c r="FF15" s="491">
        <f>IF(FF$4&lt;&gt;1,"",COUNTIF(FF9:FF13,"✗"))</f>
        <v/>
      </c>
      <c r="FG15" s="491">
        <f>IF(FG$4&lt;&gt;1,"",COUNTIF(FG9:FG13,"✗"))</f>
        <v/>
      </c>
      <c r="FH15" s="491">
        <f>IF(FH$4&lt;&gt;1,"",COUNTIF(FH9:FH13,"✗"))</f>
        <v/>
      </c>
      <c r="FI15" s="491">
        <f>IF(FI$4&lt;&gt;1,"",COUNTIF(FI9:FI13,"✗"))</f>
        <v/>
      </c>
      <c r="FJ15" s="491">
        <f>IF(FJ$4&lt;&gt;1,"",COUNTIF(FJ9:FJ13,"✗"))</f>
        <v/>
      </c>
      <c r="FK15" s="491">
        <f>IF(FK$4&lt;&gt;1,"",COUNTIF(FK9:FK13,"✗"))</f>
        <v/>
      </c>
      <c r="FL15" s="491">
        <f>IF(FL$4&lt;&gt;1,"",COUNTIF(FL9:FL13,"✗"))</f>
        <v/>
      </c>
      <c r="FM15" s="491">
        <f>IF(FM$4&lt;&gt;1,"",COUNTIF(FM9:FM13,"✗"))</f>
        <v/>
      </c>
      <c r="FN15" s="491">
        <f>IF(FN$4&lt;&gt;1,"",COUNTIF(FN9:FN13,"✗"))</f>
        <v/>
      </c>
      <c r="FO15" s="492" t="n"/>
      <c r="FP15" s="493" t="n"/>
      <c r="FQ15" s="494" t="n"/>
      <c r="FR15" s="490">
        <f>IF(FR$4&lt;&gt;1,"",COUNTIF(FR9:FR13,"✗"))</f>
        <v/>
      </c>
      <c r="FS15" s="491">
        <f>IF(FS$4&lt;&gt;1,"",COUNTIF(FS9:FS13,"✗"))</f>
        <v/>
      </c>
      <c r="FT15" s="491">
        <f>IF(FT$4&lt;&gt;1,"",COUNTIF(FT9:FT13,"✗"))</f>
        <v/>
      </c>
      <c r="FU15" s="491">
        <f>IF(FU$4&lt;&gt;1,"",COUNTIF(FU9:FU13,"✗"))</f>
        <v/>
      </c>
      <c r="FV15" s="491">
        <f>IF(FV$4&lt;&gt;1,"",COUNTIF(FV9:FV13,"✗"))</f>
        <v/>
      </c>
      <c r="FW15" s="491">
        <f>IF(FW$4&lt;&gt;1,"",COUNTIF(FW9:FW13,"✗"))</f>
        <v/>
      </c>
      <c r="FX15" s="491">
        <f>IF(FX$4&lt;&gt;1,"",COUNTIF(FX9:FX13,"✗"))</f>
        <v/>
      </c>
      <c r="FY15" s="491">
        <f>IF(FY$4&lt;&gt;1,"",COUNTIF(FY9:FY13,"✗"))</f>
        <v/>
      </c>
      <c r="FZ15" s="491">
        <f>IF(FZ$4&lt;&gt;1,"",COUNTIF(FZ9:FZ13,"✗"))</f>
        <v/>
      </c>
      <c r="GA15" s="491">
        <f>IF(GA$4&lt;&gt;1,"",COUNTIF(GA9:GA13,"✗"))</f>
        <v/>
      </c>
      <c r="GB15" s="491">
        <f>IF(GB$4&lt;&gt;1,"",COUNTIF(GB9:GB13,"✗"))</f>
        <v/>
      </c>
      <c r="GC15" s="491">
        <f>IF(GC$4&lt;&gt;1,"",COUNTIF(GC9:GC13,"✗"))</f>
        <v/>
      </c>
      <c r="GD15" s="491">
        <f>IF(GD$4&lt;&gt;1,"",COUNTIF(GD9:GD13,"✗"))</f>
        <v/>
      </c>
      <c r="GE15" s="491">
        <f>IF(GE$4&lt;&gt;1,"",COUNTIF(GE9:GE13,"✗"))</f>
        <v/>
      </c>
      <c r="GF15" s="491">
        <f>IF(GF$4&lt;&gt;1,"",COUNTIF(GF9:GF13,"✗"))</f>
        <v/>
      </c>
      <c r="GG15" s="491">
        <f>IF(GG$4&lt;&gt;1,"",COUNTIF(GG9:GG13,"✗"))</f>
        <v/>
      </c>
      <c r="GH15" s="491">
        <f>IF(GH$4&lt;&gt;1,"",COUNTIF(GH9:GH13,"✗"))</f>
        <v/>
      </c>
      <c r="GI15" s="491">
        <f>IF(GI$4&lt;&gt;1,"",COUNTIF(GI9:GI13,"✗"))</f>
        <v/>
      </c>
      <c r="GJ15" s="491">
        <f>IF(GJ$4&lt;&gt;1,"",COUNTIF(GJ9:GJ13,"✗"))</f>
        <v/>
      </c>
      <c r="GK15" s="491">
        <f>IF(GK$4&lt;&gt;1,"",COUNTIF(GK9:GK13,"✗"))</f>
        <v/>
      </c>
      <c r="GL15" s="491">
        <f>IF(GL$4&lt;&gt;1,"",COUNTIF(GL9:GL13,"✗"))</f>
        <v/>
      </c>
      <c r="GM15" s="491">
        <f>IF(GM$4&lt;&gt;1,"",COUNTIF(GM9:GM13,"✗"))</f>
        <v/>
      </c>
      <c r="GN15" s="491">
        <f>IF(GN$4&lt;&gt;1,"",COUNTIF(GN9:GN13,"✗"))</f>
        <v/>
      </c>
      <c r="GO15" s="491">
        <f>IF(GO$4&lt;&gt;1,"",COUNTIF(GO9:GO13,"✗"))</f>
        <v/>
      </c>
      <c r="GP15" s="491">
        <f>IF(GP$4&lt;&gt;1,"",COUNTIF(GP9:GP13,"✗"))</f>
        <v/>
      </c>
      <c r="GQ15" s="491">
        <f>IF(GQ$4&lt;&gt;1,"",COUNTIF(GQ9:GQ13,"✗"))</f>
        <v/>
      </c>
      <c r="GR15" s="491">
        <f>IF(GR$4&lt;&gt;1,"",COUNTIF(GR9:GR13,"✗"))</f>
        <v/>
      </c>
      <c r="GS15" s="491">
        <f>IF(GS$4&lt;&gt;1,"",COUNTIF(GS9:GS13,"✗"))</f>
        <v/>
      </c>
      <c r="GT15" s="491">
        <f>IF(GT$4&lt;&gt;1,"",COUNTIF(GT9:GT13,"✗"))</f>
        <v/>
      </c>
      <c r="GU15" s="491">
        <f>IF(GU$4&lt;&gt;1,"",COUNTIF(GU9:GU13,"✗"))</f>
        <v/>
      </c>
      <c r="GV15" s="491">
        <f>IF(GV$4&lt;&gt;1,"",COUNTIF(GV9:GV13,"✗"))</f>
        <v/>
      </c>
      <c r="GW15" s="492" t="n"/>
      <c r="GX15" s="493" t="n"/>
      <c r="GY15" s="494" t="n"/>
    </row>
    <row r="16">
      <c r="A16" s="489" t="inlineStr"/>
      <c r="B16" s="184" t="n"/>
      <c r="C16" s="184" t="n"/>
      <c r="D16" s="495" t="n"/>
      <c r="E16" s="496" t="n"/>
      <c r="F16" s="496" t="n"/>
      <c r="G16" s="496" t="n"/>
      <c r="H16" s="496" t="n"/>
      <c r="I16" s="496" t="n"/>
      <c r="J16" s="496" t="n"/>
      <c r="K16" s="496" t="n"/>
      <c r="L16" s="496" t="n"/>
      <c r="M16" s="496" t="n"/>
      <c r="N16" s="496" t="n"/>
      <c r="O16" s="496" t="n"/>
      <c r="P16" s="496" t="n"/>
      <c r="Q16" s="496" t="n"/>
      <c r="R16" s="496" t="n"/>
      <c r="S16" s="496" t="n"/>
      <c r="T16" s="496" t="n"/>
      <c r="U16" s="496" t="n"/>
      <c r="V16" s="496" t="n"/>
      <c r="W16" s="496" t="n"/>
      <c r="X16" s="496" t="n"/>
      <c r="Y16" s="496" t="n"/>
      <c r="Z16" s="496" t="n"/>
      <c r="AA16" s="496" t="n"/>
      <c r="AB16" s="496" t="n"/>
      <c r="AC16" s="496" t="n"/>
      <c r="AD16" s="496" t="n"/>
      <c r="AE16" s="496" t="n"/>
      <c r="AF16" s="496" t="n"/>
      <c r="AG16" s="496" t="n"/>
      <c r="AH16" s="496" t="n"/>
      <c r="AI16" s="492" t="n"/>
      <c r="AJ16" s="493" t="n"/>
      <c r="AK16" s="494" t="n"/>
      <c r="AL16" s="495" t="n"/>
      <c r="AM16" s="496" t="n"/>
      <c r="AN16" s="496" t="n"/>
      <c r="AO16" s="496" t="n"/>
      <c r="AP16" s="496" t="n"/>
      <c r="AQ16" s="496" t="n"/>
      <c r="AR16" s="496" t="n"/>
      <c r="AS16" s="496" t="n"/>
      <c r="AT16" s="496" t="n"/>
      <c r="AU16" s="496" t="n"/>
      <c r="AV16" s="496" t="n"/>
      <c r="AW16" s="496" t="n"/>
      <c r="AX16" s="496" t="n"/>
      <c r="AY16" s="496" t="n"/>
      <c r="AZ16" s="496" t="n"/>
      <c r="BA16" s="496" t="n"/>
      <c r="BB16" s="496" t="n"/>
      <c r="BC16" s="496" t="n"/>
      <c r="BD16" s="496" t="n"/>
      <c r="BE16" s="496" t="n"/>
      <c r="BF16" s="496" t="n"/>
      <c r="BG16" s="496" t="n"/>
      <c r="BH16" s="496" t="n"/>
      <c r="BI16" s="496" t="n"/>
      <c r="BJ16" s="496" t="n"/>
      <c r="BK16" s="496" t="n"/>
      <c r="BL16" s="496" t="n"/>
      <c r="BM16" s="496" t="n"/>
      <c r="BN16" s="496" t="n"/>
      <c r="BO16" s="496" t="n"/>
      <c r="BP16" s="496" t="n"/>
      <c r="BQ16" s="492" t="n"/>
      <c r="BR16" s="493" t="n"/>
      <c r="BS16" s="494" t="n"/>
      <c r="BT16" s="495" t="n"/>
      <c r="BU16" s="496" t="n"/>
      <c r="BV16" s="496" t="n"/>
      <c r="BW16" s="496" t="n"/>
      <c r="BX16" s="496" t="n"/>
      <c r="BY16" s="496" t="n"/>
      <c r="BZ16" s="496" t="n"/>
      <c r="CA16" s="496" t="n"/>
      <c r="CB16" s="496" t="n"/>
      <c r="CC16" s="496" t="n"/>
      <c r="CD16" s="496" t="n"/>
      <c r="CE16" s="496" t="n"/>
      <c r="CF16" s="496" t="n"/>
      <c r="CG16" s="496" t="n"/>
      <c r="CH16" s="496" t="n"/>
      <c r="CI16" s="496" t="n"/>
      <c r="CJ16" s="496" t="n"/>
      <c r="CK16" s="496" t="n"/>
      <c r="CL16" s="496" t="n"/>
      <c r="CM16" s="496" t="n"/>
      <c r="CN16" s="496" t="n"/>
      <c r="CO16" s="496" t="n"/>
      <c r="CP16" s="496" t="n"/>
      <c r="CQ16" s="496" t="n"/>
      <c r="CR16" s="496" t="n"/>
      <c r="CS16" s="496" t="n"/>
      <c r="CT16" s="496" t="n"/>
      <c r="CU16" s="496" t="n"/>
      <c r="CV16" s="496" t="n"/>
      <c r="CW16" s="496" t="n"/>
      <c r="CX16" s="496" t="n"/>
      <c r="CY16" s="492" t="n"/>
      <c r="CZ16" s="493" t="n"/>
      <c r="DA16" s="494" t="n"/>
      <c r="DB16" s="495" t="n"/>
      <c r="DC16" s="496" t="n"/>
      <c r="DD16" s="496" t="n"/>
      <c r="DE16" s="496" t="n"/>
      <c r="DF16" s="496" t="n"/>
      <c r="DG16" s="496" t="n"/>
      <c r="DH16" s="496" t="n"/>
      <c r="DI16" s="496" t="n"/>
      <c r="DJ16" s="496" t="n"/>
      <c r="DK16" s="496" t="n"/>
      <c r="DL16" s="496" t="n"/>
      <c r="DM16" s="496" t="n"/>
      <c r="DN16" s="496" t="n"/>
      <c r="DO16" s="496" t="n"/>
      <c r="DP16" s="496" t="n"/>
      <c r="DQ16" s="496" t="n"/>
      <c r="DR16" s="496" t="n"/>
      <c r="DS16" s="496" t="n"/>
      <c r="DT16" s="496" t="n"/>
      <c r="DU16" s="496" t="n"/>
      <c r="DV16" s="496" t="n"/>
      <c r="DW16" s="496" t="n"/>
      <c r="DX16" s="496" t="n"/>
      <c r="DY16" s="496" t="n"/>
      <c r="DZ16" s="496" t="n"/>
      <c r="EA16" s="496" t="n"/>
      <c r="EB16" s="496" t="n"/>
      <c r="EC16" s="496" t="n"/>
      <c r="ED16" s="496" t="n"/>
      <c r="EE16" s="496" t="n"/>
      <c r="EF16" s="496" t="n"/>
      <c r="EG16" s="492" t="n"/>
      <c r="EH16" s="493" t="n"/>
      <c r="EI16" s="494" t="n"/>
      <c r="EJ16" s="495" t="n"/>
      <c r="EK16" s="496" t="n"/>
      <c r="EL16" s="496" t="n"/>
      <c r="EM16" s="496" t="n"/>
      <c r="EN16" s="496" t="n"/>
      <c r="EO16" s="496" t="n"/>
      <c r="EP16" s="496" t="n"/>
      <c r="EQ16" s="496" t="n"/>
      <c r="ER16" s="496" t="n"/>
      <c r="ES16" s="496" t="n"/>
      <c r="ET16" s="496" t="n"/>
      <c r="EU16" s="496" t="n"/>
      <c r="EV16" s="496" t="n"/>
      <c r="EW16" s="496" t="n"/>
      <c r="EX16" s="496" t="n"/>
      <c r="EY16" s="496" t="n"/>
      <c r="EZ16" s="496" t="n"/>
      <c r="FA16" s="496" t="n"/>
      <c r="FB16" s="496" t="n"/>
      <c r="FC16" s="496" t="n"/>
      <c r="FD16" s="496" t="n"/>
      <c r="FE16" s="496" t="n"/>
      <c r="FF16" s="496" t="n"/>
      <c r="FG16" s="496" t="n"/>
      <c r="FH16" s="496" t="n"/>
      <c r="FI16" s="496" t="n"/>
      <c r="FJ16" s="496" t="n"/>
      <c r="FK16" s="496" t="n"/>
      <c r="FL16" s="496" t="n"/>
      <c r="FM16" s="496" t="n"/>
      <c r="FN16" s="496" t="n"/>
      <c r="FO16" s="492" t="n"/>
      <c r="FP16" s="493" t="n"/>
      <c r="FQ16" s="494" t="n"/>
      <c r="FR16" s="495" t="n"/>
      <c r="FS16" s="496" t="n"/>
      <c r="FT16" s="496" t="n"/>
      <c r="FU16" s="496" t="n"/>
      <c r="FV16" s="496" t="n"/>
      <c r="FW16" s="496" t="n"/>
      <c r="FX16" s="496" t="n"/>
      <c r="FY16" s="496" t="n"/>
      <c r="FZ16" s="496" t="n"/>
      <c r="GA16" s="496" t="n"/>
      <c r="GB16" s="496" t="n"/>
      <c r="GC16" s="496" t="n"/>
      <c r="GD16" s="496" t="n"/>
      <c r="GE16" s="496" t="n"/>
      <c r="GF16" s="496" t="n"/>
      <c r="GG16" s="496" t="n"/>
      <c r="GH16" s="496" t="n"/>
      <c r="GI16" s="496" t="n"/>
      <c r="GJ16" s="496" t="n"/>
      <c r="GK16" s="496" t="n"/>
      <c r="GL16" s="496" t="n"/>
      <c r="GM16" s="496" t="n"/>
      <c r="GN16" s="496" t="n"/>
      <c r="GO16" s="496" t="n"/>
      <c r="GP16" s="496" t="n"/>
      <c r="GQ16" s="496" t="n"/>
      <c r="GR16" s="496" t="n"/>
      <c r="GS16" s="496" t="n"/>
      <c r="GT16" s="496" t="n"/>
      <c r="GU16" s="496" t="n"/>
      <c r="GV16" s="496" t="n"/>
      <c r="GW16" s="492" t="n"/>
      <c r="GX16" s="493" t="n"/>
      <c r="GY16" s="494" t="n"/>
    </row>
    <row r="17">
      <c r="A17" s="489" t="inlineStr"/>
      <c r="B17" s="184" t="n"/>
      <c r="C17" s="184" t="n"/>
      <c r="D17" s="495" t="n"/>
      <c r="E17" s="496" t="n"/>
      <c r="F17" s="496" t="n"/>
      <c r="G17" s="496" t="n"/>
      <c r="H17" s="496" t="n"/>
      <c r="I17" s="496" t="n"/>
      <c r="J17" s="496" t="n"/>
      <c r="K17" s="496" t="n"/>
      <c r="L17" s="496" t="n"/>
      <c r="M17" s="496" t="n"/>
      <c r="N17" s="496" t="n"/>
      <c r="O17" s="496" t="n"/>
      <c r="P17" s="496" t="n"/>
      <c r="Q17" s="496" t="n"/>
      <c r="R17" s="496" t="n"/>
      <c r="S17" s="496" t="n"/>
      <c r="T17" s="496" t="n"/>
      <c r="U17" s="496" t="n"/>
      <c r="V17" s="496" t="n"/>
      <c r="W17" s="496" t="n"/>
      <c r="X17" s="496" t="n"/>
      <c r="Y17" s="496" t="n"/>
      <c r="Z17" s="496" t="n"/>
      <c r="AA17" s="496" t="n"/>
      <c r="AB17" s="496" t="n"/>
      <c r="AC17" s="496" t="n"/>
      <c r="AD17" s="496" t="n"/>
      <c r="AE17" s="496" t="n"/>
      <c r="AF17" s="496" t="n"/>
      <c r="AG17" s="496" t="n"/>
      <c r="AH17" s="496" t="n"/>
      <c r="AI17" s="492" t="n"/>
      <c r="AJ17" s="493" t="n"/>
      <c r="AK17" s="494" t="n"/>
      <c r="AL17" s="495" t="n"/>
      <c r="AM17" s="496" t="n"/>
      <c r="AN17" s="496" t="n"/>
      <c r="AO17" s="496" t="n"/>
      <c r="AP17" s="496" t="n"/>
      <c r="AQ17" s="496" t="n"/>
      <c r="AR17" s="496" t="n"/>
      <c r="AS17" s="496" t="n"/>
      <c r="AT17" s="496" t="n"/>
      <c r="AU17" s="496" t="n"/>
      <c r="AV17" s="496" t="n"/>
      <c r="AW17" s="496" t="n"/>
      <c r="AX17" s="496" t="n"/>
      <c r="AY17" s="496" t="n"/>
      <c r="AZ17" s="496" t="n"/>
      <c r="BA17" s="496" t="n"/>
      <c r="BB17" s="496" t="n"/>
      <c r="BC17" s="496" t="n"/>
      <c r="BD17" s="496" t="n"/>
      <c r="BE17" s="496" t="n"/>
      <c r="BF17" s="496" t="n"/>
      <c r="BG17" s="496" t="n"/>
      <c r="BH17" s="496" t="n"/>
      <c r="BI17" s="496" t="n"/>
      <c r="BJ17" s="496" t="n"/>
      <c r="BK17" s="496" t="n"/>
      <c r="BL17" s="496" t="n"/>
      <c r="BM17" s="496" t="n"/>
      <c r="BN17" s="496" t="n"/>
      <c r="BO17" s="496" t="n"/>
      <c r="BP17" s="496" t="n"/>
      <c r="BQ17" s="492" t="n"/>
      <c r="BR17" s="493" t="n"/>
      <c r="BS17" s="494" t="n"/>
      <c r="BT17" s="495" t="n"/>
      <c r="BU17" s="496" t="n"/>
      <c r="BV17" s="496" t="n"/>
      <c r="BW17" s="496" t="n"/>
      <c r="BX17" s="496" t="n"/>
      <c r="BY17" s="496" t="n"/>
      <c r="BZ17" s="496" t="n"/>
      <c r="CA17" s="496" t="n"/>
      <c r="CB17" s="496" t="n"/>
      <c r="CC17" s="496" t="n"/>
      <c r="CD17" s="496" t="n"/>
      <c r="CE17" s="496" t="n"/>
      <c r="CF17" s="496" t="n"/>
      <c r="CG17" s="496" t="n"/>
      <c r="CH17" s="496" t="n"/>
      <c r="CI17" s="496" t="n"/>
      <c r="CJ17" s="496" t="n"/>
      <c r="CK17" s="496" t="n"/>
      <c r="CL17" s="496" t="n"/>
      <c r="CM17" s="496" t="n"/>
      <c r="CN17" s="496" t="n"/>
      <c r="CO17" s="496" t="n"/>
      <c r="CP17" s="496" t="n"/>
      <c r="CQ17" s="496" t="n"/>
      <c r="CR17" s="496" t="n"/>
      <c r="CS17" s="496" t="n"/>
      <c r="CT17" s="496" t="n"/>
      <c r="CU17" s="496" t="n"/>
      <c r="CV17" s="496" t="n"/>
      <c r="CW17" s="496" t="n"/>
      <c r="CX17" s="496" t="n"/>
      <c r="CY17" s="492" t="n"/>
      <c r="CZ17" s="493" t="n"/>
      <c r="DA17" s="494" t="n"/>
      <c r="DB17" s="495" t="n"/>
      <c r="DC17" s="496" t="n"/>
      <c r="DD17" s="496" t="n"/>
      <c r="DE17" s="496" t="n"/>
      <c r="DF17" s="496" t="n"/>
      <c r="DG17" s="496" t="n"/>
      <c r="DH17" s="496" t="n"/>
      <c r="DI17" s="496" t="n"/>
      <c r="DJ17" s="496" t="n"/>
      <c r="DK17" s="496" t="n"/>
      <c r="DL17" s="496" t="n"/>
      <c r="DM17" s="496" t="n"/>
      <c r="DN17" s="496" t="n"/>
      <c r="DO17" s="496" t="n"/>
      <c r="DP17" s="496" t="n"/>
      <c r="DQ17" s="496" t="n"/>
      <c r="DR17" s="496" t="n"/>
      <c r="DS17" s="496" t="n"/>
      <c r="DT17" s="496" t="n"/>
      <c r="DU17" s="496" t="n"/>
      <c r="DV17" s="496" t="n"/>
      <c r="DW17" s="496" t="n"/>
      <c r="DX17" s="496" t="n"/>
      <c r="DY17" s="496" t="n"/>
      <c r="DZ17" s="496" t="n"/>
      <c r="EA17" s="496" t="n"/>
      <c r="EB17" s="496" t="n"/>
      <c r="EC17" s="496" t="n"/>
      <c r="ED17" s="496" t="n"/>
      <c r="EE17" s="496" t="n"/>
      <c r="EF17" s="496" t="n"/>
      <c r="EG17" s="492" t="n"/>
      <c r="EH17" s="493" t="n"/>
      <c r="EI17" s="494" t="n"/>
      <c r="EJ17" s="495" t="n"/>
      <c r="EK17" s="496" t="n"/>
      <c r="EL17" s="496" t="n"/>
      <c r="EM17" s="496" t="n"/>
      <c r="EN17" s="496" t="n"/>
      <c r="EO17" s="496" t="n"/>
      <c r="EP17" s="496" t="n"/>
      <c r="EQ17" s="496" t="n"/>
      <c r="ER17" s="496" t="n"/>
      <c r="ES17" s="496" t="n"/>
      <c r="ET17" s="496" t="n"/>
      <c r="EU17" s="496" t="n"/>
      <c r="EV17" s="496" t="n"/>
      <c r="EW17" s="496" t="n"/>
      <c r="EX17" s="496" t="n"/>
      <c r="EY17" s="496" t="n"/>
      <c r="EZ17" s="496" t="n"/>
      <c r="FA17" s="496" t="n"/>
      <c r="FB17" s="496" t="n"/>
      <c r="FC17" s="496" t="n"/>
      <c r="FD17" s="496" t="n"/>
      <c r="FE17" s="496" t="n"/>
      <c r="FF17" s="496" t="n"/>
      <c r="FG17" s="496" t="n"/>
      <c r="FH17" s="496" t="n"/>
      <c r="FI17" s="496" t="n"/>
      <c r="FJ17" s="496" t="n"/>
      <c r="FK17" s="496" t="n"/>
      <c r="FL17" s="496" t="n"/>
      <c r="FM17" s="496" t="n"/>
      <c r="FN17" s="496" t="n"/>
      <c r="FO17" s="492" t="n"/>
      <c r="FP17" s="493" t="n"/>
      <c r="FQ17" s="494" t="n"/>
      <c r="FR17" s="495" t="n"/>
      <c r="FS17" s="496" t="n"/>
      <c r="FT17" s="496" t="n"/>
      <c r="FU17" s="496" t="n"/>
      <c r="FV17" s="496" t="n"/>
      <c r="FW17" s="496" t="n"/>
      <c r="FX17" s="496" t="n"/>
      <c r="FY17" s="496" t="n"/>
      <c r="FZ17" s="496" t="n"/>
      <c r="GA17" s="496" t="n"/>
      <c r="GB17" s="496" t="n"/>
      <c r="GC17" s="496" t="n"/>
      <c r="GD17" s="496" t="n"/>
      <c r="GE17" s="496" t="n"/>
      <c r="GF17" s="496" t="n"/>
      <c r="GG17" s="496" t="n"/>
      <c r="GH17" s="496" t="n"/>
      <c r="GI17" s="496" t="n"/>
      <c r="GJ17" s="496" t="n"/>
      <c r="GK17" s="496" t="n"/>
      <c r="GL17" s="496" t="n"/>
      <c r="GM17" s="496" t="n"/>
      <c r="GN17" s="496" t="n"/>
      <c r="GO17" s="496" t="n"/>
      <c r="GP17" s="496" t="n"/>
      <c r="GQ17" s="496" t="n"/>
      <c r="GR17" s="496" t="n"/>
      <c r="GS17" s="496" t="n"/>
      <c r="GT17" s="496" t="n"/>
      <c r="GU17" s="496" t="n"/>
      <c r="GV17" s="496" t="n"/>
      <c r="GW17" s="492" t="n"/>
      <c r="GX17" s="493" t="n"/>
      <c r="GY17" s="49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FR9:GV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tabColor rgb="0064CDDD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468" t="inlineStr">
        <is>
          <t>🏠</t>
        </is>
      </c>
      <c r="B1" s="469" t="n"/>
      <c r="C1" s="469" t="n"/>
      <c r="D1" s="469" t="n"/>
      <c r="E1" s="469" t="n"/>
      <c r="F1" s="469" t="n"/>
      <c r="G1" s="469" t="n"/>
      <c r="H1" s="469" t="n"/>
      <c r="I1" s="469" t="n"/>
      <c r="J1" s="469" t="n"/>
      <c r="K1" s="469" t="n"/>
      <c r="L1" s="469" t="n"/>
      <c r="M1" s="469" t="n"/>
      <c r="N1" s="469" t="n"/>
      <c r="O1" s="469" t="n"/>
      <c r="P1" s="469" t="n"/>
      <c r="Q1" s="469" t="n"/>
      <c r="R1" s="469" t="n"/>
      <c r="S1" s="469" t="n"/>
      <c r="T1" s="469" t="n"/>
      <c r="U1" s="469" t="n"/>
      <c r="V1" s="469" t="n"/>
      <c r="W1" s="469" t="n"/>
      <c r="X1" s="469" t="n"/>
      <c r="Y1" s="469" t="n"/>
      <c r="Z1" s="469" t="n"/>
      <c r="AA1" s="469" t="n"/>
      <c r="AB1" s="469" t="n"/>
      <c r="AC1" s="469" t="n"/>
      <c r="AD1" s="469" t="n"/>
      <c r="AE1" s="469" t="n"/>
      <c r="AF1" s="469" t="n"/>
      <c r="AG1" s="469" t="n"/>
      <c r="AH1" s="469" t="n"/>
      <c r="AI1" s="469" t="n"/>
      <c r="AJ1" s="469" t="n"/>
      <c r="AK1" s="469" t="n"/>
      <c r="AL1" s="469" t="n"/>
      <c r="AM1" s="469" t="n"/>
      <c r="AN1" s="469" t="n"/>
      <c r="AO1" s="469" t="n"/>
      <c r="AP1" s="469" t="n"/>
      <c r="AQ1" s="469" t="n"/>
      <c r="AR1" s="469" t="n"/>
      <c r="AS1" s="469" t="n"/>
      <c r="AT1" s="469" t="n"/>
      <c r="AU1" s="469" t="n"/>
      <c r="AV1" s="469" t="n"/>
      <c r="AW1" s="469" t="n"/>
      <c r="AX1" s="469" t="n"/>
      <c r="AY1" s="469" t="n"/>
      <c r="AZ1" s="469" t="n"/>
      <c r="BA1" s="469" t="n"/>
      <c r="BB1" s="469" t="n"/>
      <c r="BC1" s="469" t="n"/>
      <c r="BD1" s="469" t="n"/>
      <c r="BE1" s="469" t="n"/>
      <c r="BF1" s="469" t="n"/>
      <c r="BG1" s="469" t="n"/>
      <c r="BH1" s="469" t="n"/>
      <c r="BI1" s="469" t="n"/>
      <c r="BJ1" s="469" t="n"/>
      <c r="BK1" s="469" t="n"/>
      <c r="BL1" s="469" t="n"/>
      <c r="BM1" s="469" t="n"/>
      <c r="BN1" s="469" t="n"/>
      <c r="BO1" s="469" t="n"/>
      <c r="BP1" s="469" t="n"/>
      <c r="BQ1" s="469" t="n"/>
      <c r="BR1" s="469" t="n"/>
      <c r="BS1" s="469" t="n"/>
      <c r="BT1" s="469" t="n"/>
      <c r="BU1" s="469" t="n"/>
      <c r="BV1" s="469" t="n"/>
      <c r="BW1" s="469" t="n"/>
      <c r="BX1" s="469" t="n"/>
      <c r="BY1" s="469" t="n"/>
      <c r="BZ1" s="469" t="n"/>
      <c r="CA1" s="469" t="n"/>
      <c r="CB1" s="469" t="n"/>
      <c r="CC1" s="469" t="n"/>
      <c r="CD1" s="469" t="n"/>
      <c r="CE1" s="469" t="n"/>
      <c r="CF1" s="469" t="n"/>
      <c r="CG1" s="469" t="n"/>
      <c r="CH1" s="469" t="n"/>
      <c r="CI1" s="469" t="n"/>
      <c r="CJ1" s="469" t="n"/>
      <c r="CK1" s="469" t="n"/>
      <c r="CL1" s="469" t="n"/>
      <c r="CM1" s="469" t="n"/>
      <c r="CN1" s="469" t="n"/>
      <c r="CO1" s="469" t="n"/>
      <c r="CP1" s="469" t="n"/>
      <c r="CQ1" s="469" t="n"/>
      <c r="CR1" s="469" t="n"/>
      <c r="CS1" s="469" t="n"/>
      <c r="CT1" s="469" t="n"/>
      <c r="CU1" s="469" t="n"/>
      <c r="CV1" s="469" t="n"/>
      <c r="CW1" s="469" t="n"/>
      <c r="CX1" s="469" t="n"/>
      <c r="CY1" s="469" t="n"/>
      <c r="CZ1" s="469" t="n"/>
      <c r="DA1" s="469" t="n"/>
      <c r="DB1" s="469" t="n"/>
      <c r="DC1" s="469" t="n"/>
      <c r="DD1" s="469" t="n"/>
      <c r="DE1" s="469" t="n"/>
      <c r="DF1" s="469" t="n"/>
      <c r="DG1" s="469" t="n"/>
      <c r="DH1" s="469" t="n"/>
      <c r="DI1" s="469" t="n"/>
      <c r="DJ1" s="469" t="n"/>
      <c r="DK1" s="469" t="n"/>
      <c r="DL1" s="469" t="n"/>
      <c r="DM1" s="469" t="n"/>
      <c r="DN1" s="469" t="n"/>
      <c r="DO1" s="469" t="n"/>
      <c r="DP1" s="469" t="n"/>
      <c r="DQ1" s="469" t="n"/>
      <c r="DR1" s="469" t="n"/>
      <c r="DS1" s="469" t="n"/>
      <c r="DT1" s="469" t="n"/>
      <c r="DU1" s="469" t="n"/>
      <c r="DV1" s="469" t="n"/>
      <c r="DW1" s="469" t="n"/>
      <c r="DX1" s="469" t="n"/>
      <c r="DY1" s="469" t="n"/>
      <c r="DZ1" s="469" t="n"/>
      <c r="EA1" s="469" t="n"/>
      <c r="EB1" s="469" t="n"/>
      <c r="EC1" s="469" t="n"/>
      <c r="ED1" s="469" t="n"/>
      <c r="EE1" s="469" t="n"/>
      <c r="EF1" s="469" t="n"/>
      <c r="EG1" s="469" t="n"/>
      <c r="EH1" s="469" t="n"/>
      <c r="EI1" s="469" t="n"/>
      <c r="EJ1" s="469" t="n"/>
      <c r="EK1" s="469" t="n"/>
      <c r="EL1" s="469" t="n"/>
      <c r="EM1" s="469" t="n"/>
      <c r="EN1" s="469" t="n"/>
      <c r="EO1" s="469" t="n"/>
      <c r="EP1" s="469" t="n"/>
      <c r="EQ1" s="469" t="n"/>
      <c r="ER1" s="469" t="n"/>
      <c r="ES1" s="469" t="n"/>
      <c r="ET1" s="469" t="n"/>
      <c r="EU1" s="469" t="n"/>
      <c r="EV1" s="469" t="n"/>
      <c r="EW1" s="469" t="n"/>
      <c r="EX1" s="469" t="n"/>
      <c r="EY1" s="469" t="n"/>
      <c r="EZ1" s="469" t="n"/>
      <c r="FA1" s="469" t="n"/>
      <c r="FB1" s="469" t="n"/>
      <c r="FC1" s="469" t="n"/>
      <c r="FD1" s="469" t="n"/>
      <c r="FE1" s="469" t="n"/>
      <c r="FF1" s="469" t="n"/>
      <c r="FG1" s="469" t="n"/>
      <c r="FH1" s="469" t="n"/>
      <c r="FI1" s="469" t="n"/>
      <c r="FJ1" s="469" t="n"/>
      <c r="FK1" s="469" t="n"/>
      <c r="FL1" s="469" t="n"/>
      <c r="FM1" s="469" t="n"/>
      <c r="FN1" s="469" t="n"/>
      <c r="FO1" s="469" t="n"/>
      <c r="FP1" s="469" t="n"/>
      <c r="FQ1" s="469" t="n"/>
    </row>
    <row r="2" ht="20" customHeight="1">
      <c r="A2" s="470" t="inlineStr">
        <is>
          <t>หน้าหลัก</t>
        </is>
      </c>
      <c r="B2" s="47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472" t="n"/>
      <c r="D2" s="472" t="n"/>
      <c r="E2" s="472" t="n"/>
      <c r="F2" s="472" t="n"/>
      <c r="G2" s="472" t="n"/>
      <c r="H2" s="472" t="n"/>
      <c r="I2" s="472" t="n"/>
      <c r="J2" s="472" t="n"/>
      <c r="K2" s="472" t="n"/>
      <c r="L2" s="472" t="n"/>
      <c r="M2" s="472" t="n"/>
      <c r="N2" s="472" t="n"/>
      <c r="O2" s="472" t="n"/>
      <c r="P2" s="472" t="n"/>
      <c r="Q2" s="472" t="n"/>
      <c r="R2" s="472" t="n"/>
      <c r="S2" s="472" t="n"/>
      <c r="T2" s="472" t="n"/>
      <c r="U2" s="472" t="n"/>
      <c r="V2" s="472" t="n"/>
      <c r="W2" s="472" t="n"/>
      <c r="X2" s="472" t="n"/>
      <c r="Y2" s="472" t="n"/>
      <c r="Z2" s="472" t="n"/>
      <c r="AA2" s="472" t="n"/>
      <c r="AB2" s="472" t="n"/>
      <c r="AC2" s="472" t="n"/>
      <c r="AD2" s="472" t="n"/>
      <c r="AE2" s="472" t="n"/>
      <c r="AF2" s="472" t="n"/>
      <c r="AG2" s="472" t="n"/>
      <c r="AH2" s="472" t="n"/>
      <c r="AI2" s="472" t="n"/>
      <c r="AJ2" s="472" t="n"/>
      <c r="AK2" s="472" t="n"/>
      <c r="AL2" s="472" t="n"/>
      <c r="AM2" s="472" t="n"/>
      <c r="AN2" s="472" t="n"/>
      <c r="AO2" s="472" t="n"/>
      <c r="AP2" s="472" t="n"/>
      <c r="AQ2" s="472" t="n"/>
      <c r="AR2" s="472" t="n"/>
      <c r="AS2" s="472" t="n"/>
      <c r="AT2" s="472" t="n"/>
      <c r="AU2" s="472" t="n"/>
      <c r="AV2" s="472" t="n"/>
      <c r="AW2" s="472" t="n"/>
      <c r="AX2" s="472" t="n"/>
      <c r="AY2" s="472" t="n"/>
      <c r="AZ2" s="472" t="n"/>
      <c r="BA2" s="472" t="n"/>
      <c r="BB2" s="472" t="n"/>
      <c r="BC2" s="472" t="n"/>
      <c r="BD2" s="472" t="n"/>
      <c r="BE2" s="472" t="n"/>
      <c r="BF2" s="472" t="n"/>
      <c r="BG2" s="472" t="n"/>
      <c r="BH2" s="472" t="n"/>
      <c r="BI2" s="472" t="n"/>
      <c r="BJ2" s="472" t="n"/>
      <c r="BK2" s="472" t="n"/>
      <c r="BL2" s="472" t="n"/>
      <c r="BM2" s="472" t="n"/>
      <c r="BN2" s="472" t="n"/>
      <c r="BO2" s="472" t="n"/>
      <c r="BP2" s="472" t="n"/>
      <c r="BQ2" s="472" t="n"/>
      <c r="BR2" s="472" t="n"/>
      <c r="BS2" s="472" t="n"/>
      <c r="BT2" s="472" t="n"/>
      <c r="BU2" s="472" t="n"/>
      <c r="BV2" s="472" t="n"/>
      <c r="BW2" s="472" t="n"/>
      <c r="BX2" s="472" t="n"/>
      <c r="BY2" s="472" t="n"/>
      <c r="BZ2" s="472" t="n"/>
      <c r="CA2" s="472" t="n"/>
      <c r="CB2" s="472" t="n"/>
      <c r="CC2" s="472" t="n"/>
      <c r="CD2" s="472" t="n"/>
      <c r="CE2" s="472" t="n"/>
      <c r="CF2" s="472" t="n"/>
      <c r="CG2" s="472" t="n"/>
      <c r="CH2" s="472" t="n"/>
      <c r="CI2" s="472" t="n"/>
      <c r="CJ2" s="472" t="n"/>
      <c r="CK2" s="472" t="n"/>
      <c r="CL2" s="472" t="n"/>
      <c r="CM2" s="472" t="n"/>
      <c r="CN2" s="472" t="n"/>
      <c r="CO2" s="472" t="n"/>
      <c r="CP2" s="472" t="n"/>
      <c r="CQ2" s="472" t="n"/>
      <c r="CR2" s="472" t="n"/>
      <c r="CS2" s="472" t="n"/>
      <c r="CT2" s="472" t="n"/>
      <c r="CU2" s="472" t="n"/>
      <c r="CV2" s="472" t="n"/>
      <c r="CW2" s="472" t="n"/>
      <c r="CX2" s="472" t="n"/>
      <c r="CY2" s="472" t="n"/>
      <c r="CZ2" s="472" t="n"/>
      <c r="DA2" s="472" t="n"/>
      <c r="DB2" s="472" t="n"/>
      <c r="DC2" s="472" t="n"/>
      <c r="DD2" s="472" t="n"/>
      <c r="DE2" s="472" t="n"/>
      <c r="DF2" s="472" t="n"/>
      <c r="DG2" s="472" t="n"/>
      <c r="DH2" s="472" t="n"/>
      <c r="DI2" s="472" t="n"/>
      <c r="DJ2" s="472" t="n"/>
      <c r="DK2" s="472" t="n"/>
      <c r="DL2" s="472" t="n"/>
      <c r="DM2" s="472" t="n"/>
      <c r="DN2" s="472" t="n"/>
      <c r="DO2" s="472" t="n"/>
      <c r="DP2" s="472" t="n"/>
      <c r="DQ2" s="472" t="n"/>
      <c r="DR2" s="472" t="n"/>
      <c r="DS2" s="472" t="n"/>
      <c r="DT2" s="472" t="n"/>
      <c r="DU2" s="472" t="n"/>
      <c r="DV2" s="472" t="n"/>
      <c r="DW2" s="472" t="n"/>
      <c r="DX2" s="472" t="n"/>
      <c r="DY2" s="472" t="n"/>
      <c r="DZ2" s="472" t="n"/>
      <c r="EA2" s="472" t="n"/>
      <c r="EB2" s="472" t="n"/>
      <c r="EC2" s="472" t="n"/>
      <c r="ED2" s="472" t="n"/>
      <c r="EE2" s="472" t="n"/>
      <c r="EF2" s="472" t="n"/>
      <c r="EG2" s="472" t="n"/>
      <c r="EH2" s="472" t="n"/>
      <c r="EI2" s="472" t="n"/>
      <c r="EJ2" s="472" t="n"/>
      <c r="EK2" s="472" t="n"/>
      <c r="EL2" s="472" t="n"/>
      <c r="EM2" s="472" t="n"/>
      <c r="EN2" s="472" t="n"/>
      <c r="EO2" s="472" t="n"/>
      <c r="EP2" s="472" t="n"/>
      <c r="EQ2" s="472" t="n"/>
      <c r="ER2" s="472" t="n"/>
      <c r="ES2" s="472" t="n"/>
      <c r="ET2" s="472" t="n"/>
      <c r="EU2" s="472" t="n"/>
      <c r="EV2" s="472" t="n"/>
      <c r="EW2" s="472" t="n"/>
      <c r="EX2" s="472" t="n"/>
      <c r="EY2" s="472" t="n"/>
      <c r="EZ2" s="472" t="n"/>
      <c r="FA2" s="472" t="n"/>
      <c r="FB2" s="472" t="n"/>
      <c r="FC2" s="472" t="n"/>
      <c r="FD2" s="472" t="n"/>
      <c r="FE2" s="472" t="n"/>
      <c r="FF2" s="472" t="n"/>
      <c r="FG2" s="472" t="n"/>
      <c r="FH2" s="472" t="n"/>
      <c r="FI2" s="472" t="n"/>
      <c r="FJ2" s="472" t="n"/>
      <c r="FK2" s="472" t="n"/>
      <c r="FL2" s="472" t="n"/>
      <c r="FM2" s="472" t="n"/>
      <c r="FN2" s="472" t="n"/>
      <c r="FO2" s="472" t="n"/>
      <c r="FP2" s="472" t="n"/>
      <c r="FQ2" s="472" t="n"/>
    </row>
    <row r="3" ht="18" customHeight="1">
      <c r="B3" s="213" t="inlineStr">
        <is>
          <t>✓ = แปรงฟัน     ✗ = ไม่แปรง      •   ช่องสีเทา = นักเรียนไม่มาเรียน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214" t="inlineStr">
        <is>
          <t>เลขที่</t>
        </is>
      </c>
      <c r="B5" s="214" t="inlineStr">
        <is>
          <t>ชื่อ - สกุล</t>
        </is>
      </c>
      <c r="C5" s="473" t="inlineStr">
        <is>
          <t>ร้อยละ
ทั้งภาค</t>
        </is>
      </c>
      <c r="D5" s="474">
        <f>"เดือนพฤศจิกายน  พ.ศ. "&amp;('ข้อมูลโรงเรียน'!$C$12-543+543)</f>
        <v/>
      </c>
      <c r="AI5" s="475" t="inlineStr">
        <is>
          <t>สรุป พ.ย.</t>
        </is>
      </c>
      <c r="AL5" s="474">
        <f>"เดือนธันวาคม  พ.ศ. "&amp;('ข้อมูลโรงเรียน'!$C$12-543+543)</f>
        <v/>
      </c>
      <c r="BQ5" s="475" t="inlineStr">
        <is>
          <t>สรุป ธ.ค.</t>
        </is>
      </c>
      <c r="BT5" s="474">
        <f>"เดือนมกราคม  พ.ศ. "&amp;('ข้อมูลโรงเรียน'!$C$12-542+543)</f>
        <v/>
      </c>
      <c r="CY5" s="475" t="inlineStr">
        <is>
          <t>สรุป ม.ค.</t>
        </is>
      </c>
      <c r="DB5" s="474">
        <f>"เดือนกุมภาพันธ์  พ.ศ. "&amp;('ข้อมูลโรงเรียน'!$C$12-542+543)</f>
        <v/>
      </c>
      <c r="EG5" s="475" t="inlineStr">
        <is>
          <t>สรุป ก.พ.</t>
        </is>
      </c>
      <c r="EJ5" s="474">
        <f>"เดือนมีนาคม  พ.ศ. "&amp;('ข้อมูลโรงเรียน'!$C$12-542+543)</f>
        <v/>
      </c>
      <c r="FO5" s="475" t="inlineStr">
        <is>
          <t>สรุป มี.ค.</t>
        </is>
      </c>
    </row>
    <row r="6">
      <c r="D6" s="476">
        <f>IF('ปฏิทิน'!D5="","",DAY('ปฏิทิน'!D5))</f>
        <v/>
      </c>
      <c r="E6" s="473">
        <f>IF('ปฏิทิน'!E5="","",DAY('ปฏิทิน'!E5))</f>
        <v/>
      </c>
      <c r="F6" s="473">
        <f>IF('ปฏิทิน'!F5="","",DAY('ปฏิทิน'!F5))</f>
        <v/>
      </c>
      <c r="G6" s="473">
        <f>IF('ปฏิทิน'!G5="","",DAY('ปฏิทิน'!G5))</f>
        <v/>
      </c>
      <c r="H6" s="473">
        <f>IF('ปฏิทิน'!H5="","",DAY('ปฏิทิน'!H5))</f>
        <v/>
      </c>
      <c r="I6" s="473">
        <f>IF('ปฏิทิน'!I5="","",DAY('ปฏิทิน'!I5))</f>
        <v/>
      </c>
      <c r="J6" s="473">
        <f>IF('ปฏิทิน'!J5="","",DAY('ปฏิทิน'!J5))</f>
        <v/>
      </c>
      <c r="K6" s="473">
        <f>IF('ปฏิทิน'!K5="","",DAY('ปฏิทิน'!K5))</f>
        <v/>
      </c>
      <c r="L6" s="473">
        <f>IF('ปฏิทิน'!L5="","",DAY('ปฏิทิน'!L5))</f>
        <v/>
      </c>
      <c r="M6" s="473">
        <f>IF('ปฏิทิน'!M5="","",DAY('ปฏิทิน'!M5))</f>
        <v/>
      </c>
      <c r="N6" s="473">
        <f>IF('ปฏิทิน'!N5="","",DAY('ปฏิทิน'!N5))</f>
        <v/>
      </c>
      <c r="O6" s="473">
        <f>IF('ปฏิทิน'!O5="","",DAY('ปฏิทิน'!O5))</f>
        <v/>
      </c>
      <c r="P6" s="473">
        <f>IF('ปฏิทิน'!P5="","",DAY('ปฏิทิน'!P5))</f>
        <v/>
      </c>
      <c r="Q6" s="473">
        <f>IF('ปฏิทิน'!Q5="","",DAY('ปฏิทิน'!Q5))</f>
        <v/>
      </c>
      <c r="R6" s="473">
        <f>IF('ปฏิทิน'!R5="","",DAY('ปฏิทิน'!R5))</f>
        <v/>
      </c>
      <c r="S6" s="473">
        <f>IF('ปฏิทิน'!S5="","",DAY('ปฏิทิน'!S5))</f>
        <v/>
      </c>
      <c r="T6" s="473">
        <f>IF('ปฏิทิน'!T5="","",DAY('ปฏิทิน'!T5))</f>
        <v/>
      </c>
      <c r="U6" s="473">
        <f>IF('ปฏิทิน'!U5="","",DAY('ปฏิทิน'!U5))</f>
        <v/>
      </c>
      <c r="V6" s="473">
        <f>IF('ปฏิทิน'!V5="","",DAY('ปฏิทิน'!V5))</f>
        <v/>
      </c>
      <c r="W6" s="473">
        <f>IF('ปฏิทิน'!W5="","",DAY('ปฏิทิน'!W5))</f>
        <v/>
      </c>
      <c r="X6" s="473">
        <f>IF('ปฏิทิน'!X5="","",DAY('ปฏิทิน'!X5))</f>
        <v/>
      </c>
      <c r="Y6" s="473">
        <f>IF('ปฏิทิน'!Y5="","",DAY('ปฏิทิน'!Y5))</f>
        <v/>
      </c>
      <c r="Z6" s="473">
        <f>IF('ปฏิทิน'!Z5="","",DAY('ปฏิทิน'!Z5))</f>
        <v/>
      </c>
      <c r="AA6" s="473">
        <f>IF('ปฏิทิน'!AA5="","",DAY('ปฏิทิน'!AA5))</f>
        <v/>
      </c>
      <c r="AB6" s="473">
        <f>IF('ปฏิทิน'!AB5="","",DAY('ปฏิทิน'!AB5))</f>
        <v/>
      </c>
      <c r="AC6" s="473">
        <f>IF('ปฏิทิน'!AC5="","",DAY('ปฏิทิน'!AC5))</f>
        <v/>
      </c>
      <c r="AD6" s="473">
        <f>IF('ปฏิทิน'!AD5="","",DAY('ปฏิทิน'!AD5))</f>
        <v/>
      </c>
      <c r="AE6" s="473">
        <f>IF('ปฏิทิน'!AE5="","",DAY('ปฏิทิน'!AE5))</f>
        <v/>
      </c>
      <c r="AF6" s="473">
        <f>IF('ปฏิทิน'!AF5="","",DAY('ปฏิทิน'!AF5))</f>
        <v/>
      </c>
      <c r="AG6" s="473">
        <f>IF('ปฏิทิน'!AG5="","",DAY('ปฏิทิน'!AG5))</f>
        <v/>
      </c>
      <c r="AH6" s="473">
        <f>IF('ปฏิทิน'!AH5="","",DAY('ปฏิทิน'!AH5))</f>
        <v/>
      </c>
      <c r="AI6" s="477" t="inlineStr">
        <is>
          <t>แปรง</t>
        </is>
      </c>
      <c r="AJ6" s="478" t="inlineStr">
        <is>
          <t>ไม่
แปรง</t>
        </is>
      </c>
      <c r="AK6" s="479" t="inlineStr">
        <is>
          <t>ร้อยละ</t>
        </is>
      </c>
      <c r="AL6" s="476">
        <f>IF('ปฏิทิน'!AL5="","",DAY('ปฏิทิน'!AL5))</f>
        <v/>
      </c>
      <c r="AM6" s="473">
        <f>IF('ปฏิทิน'!AM5="","",DAY('ปฏิทิน'!AM5))</f>
        <v/>
      </c>
      <c r="AN6" s="473">
        <f>IF('ปฏิทิน'!AN5="","",DAY('ปฏิทิน'!AN5))</f>
        <v/>
      </c>
      <c r="AO6" s="473">
        <f>IF('ปฏิทิน'!AO5="","",DAY('ปฏิทิน'!AO5))</f>
        <v/>
      </c>
      <c r="AP6" s="473">
        <f>IF('ปฏิทิน'!AP5="","",DAY('ปฏิทิน'!AP5))</f>
        <v/>
      </c>
      <c r="AQ6" s="473">
        <f>IF('ปฏิทิน'!AQ5="","",DAY('ปฏิทิน'!AQ5))</f>
        <v/>
      </c>
      <c r="AR6" s="473">
        <f>IF('ปฏิทิน'!AR5="","",DAY('ปฏิทิน'!AR5))</f>
        <v/>
      </c>
      <c r="AS6" s="473">
        <f>IF('ปฏิทิน'!AS5="","",DAY('ปฏิทิน'!AS5))</f>
        <v/>
      </c>
      <c r="AT6" s="473">
        <f>IF('ปฏิทิน'!AT5="","",DAY('ปฏิทิน'!AT5))</f>
        <v/>
      </c>
      <c r="AU6" s="473">
        <f>IF('ปฏิทิน'!AU5="","",DAY('ปฏิทิน'!AU5))</f>
        <v/>
      </c>
      <c r="AV6" s="473">
        <f>IF('ปฏิทิน'!AV5="","",DAY('ปฏิทิน'!AV5))</f>
        <v/>
      </c>
      <c r="AW6" s="473">
        <f>IF('ปฏิทิน'!AW5="","",DAY('ปฏิทิน'!AW5))</f>
        <v/>
      </c>
      <c r="AX6" s="473">
        <f>IF('ปฏิทิน'!AX5="","",DAY('ปฏิทิน'!AX5))</f>
        <v/>
      </c>
      <c r="AY6" s="473">
        <f>IF('ปฏิทิน'!AY5="","",DAY('ปฏิทิน'!AY5))</f>
        <v/>
      </c>
      <c r="AZ6" s="473">
        <f>IF('ปฏิทิน'!AZ5="","",DAY('ปฏิทิน'!AZ5))</f>
        <v/>
      </c>
      <c r="BA6" s="473">
        <f>IF('ปฏิทิน'!BA5="","",DAY('ปฏิทิน'!BA5))</f>
        <v/>
      </c>
      <c r="BB6" s="473">
        <f>IF('ปฏิทิน'!BB5="","",DAY('ปฏิทิน'!BB5))</f>
        <v/>
      </c>
      <c r="BC6" s="473">
        <f>IF('ปฏิทิน'!BC5="","",DAY('ปฏิทิน'!BC5))</f>
        <v/>
      </c>
      <c r="BD6" s="473">
        <f>IF('ปฏิทิน'!BD5="","",DAY('ปฏิทิน'!BD5))</f>
        <v/>
      </c>
      <c r="BE6" s="473">
        <f>IF('ปฏิทิน'!BE5="","",DAY('ปฏิทิน'!BE5))</f>
        <v/>
      </c>
      <c r="BF6" s="473">
        <f>IF('ปฏิทิน'!BF5="","",DAY('ปฏิทิน'!BF5))</f>
        <v/>
      </c>
      <c r="BG6" s="473">
        <f>IF('ปฏิทิน'!BG5="","",DAY('ปฏิทิน'!BG5))</f>
        <v/>
      </c>
      <c r="BH6" s="473">
        <f>IF('ปฏิทิน'!BH5="","",DAY('ปฏิทิน'!BH5))</f>
        <v/>
      </c>
      <c r="BI6" s="473">
        <f>IF('ปฏิทิน'!BI5="","",DAY('ปฏิทิน'!BI5))</f>
        <v/>
      </c>
      <c r="BJ6" s="473">
        <f>IF('ปฏิทิน'!BJ5="","",DAY('ปฏิทิน'!BJ5))</f>
        <v/>
      </c>
      <c r="BK6" s="473">
        <f>IF('ปฏิทิน'!BK5="","",DAY('ปฏิทิน'!BK5))</f>
        <v/>
      </c>
      <c r="BL6" s="473">
        <f>IF('ปฏิทิน'!BL5="","",DAY('ปฏิทิน'!BL5))</f>
        <v/>
      </c>
      <c r="BM6" s="473">
        <f>IF('ปฏิทิน'!BM5="","",DAY('ปฏิทิน'!BM5))</f>
        <v/>
      </c>
      <c r="BN6" s="473">
        <f>IF('ปฏิทิน'!BN5="","",DAY('ปฏิทิน'!BN5))</f>
        <v/>
      </c>
      <c r="BO6" s="473">
        <f>IF('ปฏิทิน'!BO5="","",DAY('ปฏิทิน'!BO5))</f>
        <v/>
      </c>
      <c r="BP6" s="473">
        <f>IF('ปฏิทิน'!BP5="","",DAY('ปฏิทิน'!BP5))</f>
        <v/>
      </c>
      <c r="BQ6" s="477" t="inlineStr">
        <is>
          <t>แปรง</t>
        </is>
      </c>
      <c r="BR6" s="478" t="inlineStr">
        <is>
          <t>ไม่
แปรง</t>
        </is>
      </c>
      <c r="BS6" s="479" t="inlineStr">
        <is>
          <t>ร้อยละ</t>
        </is>
      </c>
      <c r="BT6" s="476">
        <f>IF('ปฏิทิน'!BT5="","",DAY('ปฏิทิน'!BT5))</f>
        <v/>
      </c>
      <c r="BU6" s="473">
        <f>IF('ปฏิทิน'!BU5="","",DAY('ปฏิทิน'!BU5))</f>
        <v/>
      </c>
      <c r="BV6" s="473">
        <f>IF('ปฏิทิน'!BV5="","",DAY('ปฏิทิน'!BV5))</f>
        <v/>
      </c>
      <c r="BW6" s="473">
        <f>IF('ปฏิทิน'!BW5="","",DAY('ปฏิทิน'!BW5))</f>
        <v/>
      </c>
      <c r="BX6" s="473">
        <f>IF('ปฏิทิน'!BX5="","",DAY('ปฏิทิน'!BX5))</f>
        <v/>
      </c>
      <c r="BY6" s="473">
        <f>IF('ปฏิทิน'!BY5="","",DAY('ปฏิทิน'!BY5))</f>
        <v/>
      </c>
      <c r="BZ6" s="473">
        <f>IF('ปฏิทิน'!BZ5="","",DAY('ปฏิทิน'!BZ5))</f>
        <v/>
      </c>
      <c r="CA6" s="473">
        <f>IF('ปฏิทิน'!CA5="","",DAY('ปฏิทิน'!CA5))</f>
        <v/>
      </c>
      <c r="CB6" s="473">
        <f>IF('ปฏิทิน'!CB5="","",DAY('ปฏิทิน'!CB5))</f>
        <v/>
      </c>
      <c r="CC6" s="473">
        <f>IF('ปฏิทิน'!CC5="","",DAY('ปฏิทิน'!CC5))</f>
        <v/>
      </c>
      <c r="CD6" s="473">
        <f>IF('ปฏิทิน'!CD5="","",DAY('ปฏิทิน'!CD5))</f>
        <v/>
      </c>
      <c r="CE6" s="473">
        <f>IF('ปฏิทิน'!CE5="","",DAY('ปฏิทิน'!CE5))</f>
        <v/>
      </c>
      <c r="CF6" s="473">
        <f>IF('ปฏิทิน'!CF5="","",DAY('ปฏิทิน'!CF5))</f>
        <v/>
      </c>
      <c r="CG6" s="473">
        <f>IF('ปฏิทิน'!CG5="","",DAY('ปฏิทิน'!CG5))</f>
        <v/>
      </c>
      <c r="CH6" s="473">
        <f>IF('ปฏิทิน'!CH5="","",DAY('ปฏิทิน'!CH5))</f>
        <v/>
      </c>
      <c r="CI6" s="473">
        <f>IF('ปฏิทิน'!CI5="","",DAY('ปฏิทิน'!CI5))</f>
        <v/>
      </c>
      <c r="CJ6" s="473">
        <f>IF('ปฏิทิน'!CJ5="","",DAY('ปฏิทิน'!CJ5))</f>
        <v/>
      </c>
      <c r="CK6" s="473">
        <f>IF('ปฏิทิน'!CK5="","",DAY('ปฏิทิน'!CK5))</f>
        <v/>
      </c>
      <c r="CL6" s="473">
        <f>IF('ปฏิทิน'!CL5="","",DAY('ปฏิทิน'!CL5))</f>
        <v/>
      </c>
      <c r="CM6" s="473">
        <f>IF('ปฏิทิน'!CM5="","",DAY('ปฏิทิน'!CM5))</f>
        <v/>
      </c>
      <c r="CN6" s="473">
        <f>IF('ปฏิทิน'!CN5="","",DAY('ปฏิทิน'!CN5))</f>
        <v/>
      </c>
      <c r="CO6" s="473">
        <f>IF('ปฏิทิน'!CO5="","",DAY('ปฏิทิน'!CO5))</f>
        <v/>
      </c>
      <c r="CP6" s="473">
        <f>IF('ปฏิทิน'!CP5="","",DAY('ปฏิทิน'!CP5))</f>
        <v/>
      </c>
      <c r="CQ6" s="473">
        <f>IF('ปฏิทิน'!CQ5="","",DAY('ปฏิทิน'!CQ5))</f>
        <v/>
      </c>
      <c r="CR6" s="473">
        <f>IF('ปฏิทิน'!CR5="","",DAY('ปฏิทิน'!CR5))</f>
        <v/>
      </c>
      <c r="CS6" s="473">
        <f>IF('ปฏิทิน'!CS5="","",DAY('ปฏิทิน'!CS5))</f>
        <v/>
      </c>
      <c r="CT6" s="473">
        <f>IF('ปฏิทิน'!CT5="","",DAY('ปฏิทิน'!CT5))</f>
        <v/>
      </c>
      <c r="CU6" s="473">
        <f>IF('ปฏิทิน'!CU5="","",DAY('ปฏิทิน'!CU5))</f>
        <v/>
      </c>
      <c r="CV6" s="473">
        <f>IF('ปฏิทิน'!CV5="","",DAY('ปฏิทิน'!CV5))</f>
        <v/>
      </c>
      <c r="CW6" s="473">
        <f>IF('ปฏิทิน'!CW5="","",DAY('ปฏิทิน'!CW5))</f>
        <v/>
      </c>
      <c r="CX6" s="473">
        <f>IF('ปฏิทิน'!CX5="","",DAY('ปฏิทิน'!CX5))</f>
        <v/>
      </c>
      <c r="CY6" s="477" t="inlineStr">
        <is>
          <t>แปรง</t>
        </is>
      </c>
      <c r="CZ6" s="478" t="inlineStr">
        <is>
          <t>ไม่
แปรง</t>
        </is>
      </c>
      <c r="DA6" s="479" t="inlineStr">
        <is>
          <t>ร้อยละ</t>
        </is>
      </c>
      <c r="DB6" s="476">
        <f>IF('ปฏิทิน'!DB5="","",DAY('ปฏิทิน'!DB5))</f>
        <v/>
      </c>
      <c r="DC6" s="473">
        <f>IF('ปฏิทิน'!DC5="","",DAY('ปฏิทิน'!DC5))</f>
        <v/>
      </c>
      <c r="DD6" s="473">
        <f>IF('ปฏิทิน'!DD5="","",DAY('ปฏิทิน'!DD5))</f>
        <v/>
      </c>
      <c r="DE6" s="473">
        <f>IF('ปฏิทิน'!DE5="","",DAY('ปฏิทิน'!DE5))</f>
        <v/>
      </c>
      <c r="DF6" s="473">
        <f>IF('ปฏิทิน'!DF5="","",DAY('ปฏิทิน'!DF5))</f>
        <v/>
      </c>
      <c r="DG6" s="473">
        <f>IF('ปฏิทิน'!DG5="","",DAY('ปฏิทิน'!DG5))</f>
        <v/>
      </c>
      <c r="DH6" s="473">
        <f>IF('ปฏิทิน'!DH5="","",DAY('ปฏิทิน'!DH5))</f>
        <v/>
      </c>
      <c r="DI6" s="473">
        <f>IF('ปฏิทิน'!DI5="","",DAY('ปฏิทิน'!DI5))</f>
        <v/>
      </c>
      <c r="DJ6" s="473">
        <f>IF('ปฏิทิน'!DJ5="","",DAY('ปฏิทิน'!DJ5))</f>
        <v/>
      </c>
      <c r="DK6" s="473">
        <f>IF('ปฏิทิน'!DK5="","",DAY('ปฏิทิน'!DK5))</f>
        <v/>
      </c>
      <c r="DL6" s="473">
        <f>IF('ปฏิทิน'!DL5="","",DAY('ปฏิทิน'!DL5))</f>
        <v/>
      </c>
      <c r="DM6" s="473">
        <f>IF('ปฏิทิน'!DM5="","",DAY('ปฏิทิน'!DM5))</f>
        <v/>
      </c>
      <c r="DN6" s="473">
        <f>IF('ปฏิทิน'!DN5="","",DAY('ปฏิทิน'!DN5))</f>
        <v/>
      </c>
      <c r="DO6" s="473">
        <f>IF('ปฏิทิน'!DO5="","",DAY('ปฏิทิน'!DO5))</f>
        <v/>
      </c>
      <c r="DP6" s="473">
        <f>IF('ปฏิทิน'!DP5="","",DAY('ปฏิทิน'!DP5))</f>
        <v/>
      </c>
      <c r="DQ6" s="473">
        <f>IF('ปฏิทิน'!DQ5="","",DAY('ปฏิทิน'!DQ5))</f>
        <v/>
      </c>
      <c r="DR6" s="473">
        <f>IF('ปฏิทิน'!DR5="","",DAY('ปฏิทิน'!DR5))</f>
        <v/>
      </c>
      <c r="DS6" s="473">
        <f>IF('ปฏิทิน'!DS5="","",DAY('ปฏิทิน'!DS5))</f>
        <v/>
      </c>
      <c r="DT6" s="473">
        <f>IF('ปฏิทิน'!DT5="","",DAY('ปฏิทิน'!DT5))</f>
        <v/>
      </c>
      <c r="DU6" s="473">
        <f>IF('ปฏิทิน'!DU5="","",DAY('ปฏิทิน'!DU5))</f>
        <v/>
      </c>
      <c r="DV6" s="473">
        <f>IF('ปฏิทิน'!DV5="","",DAY('ปฏิทิน'!DV5))</f>
        <v/>
      </c>
      <c r="DW6" s="473">
        <f>IF('ปฏิทิน'!DW5="","",DAY('ปฏิทิน'!DW5))</f>
        <v/>
      </c>
      <c r="DX6" s="473">
        <f>IF('ปฏิทิน'!DX5="","",DAY('ปฏิทิน'!DX5))</f>
        <v/>
      </c>
      <c r="DY6" s="473">
        <f>IF('ปฏิทิน'!DY5="","",DAY('ปฏิทิน'!DY5))</f>
        <v/>
      </c>
      <c r="DZ6" s="473">
        <f>IF('ปฏิทิน'!DZ5="","",DAY('ปฏิทิน'!DZ5))</f>
        <v/>
      </c>
      <c r="EA6" s="473">
        <f>IF('ปฏิทิน'!EA5="","",DAY('ปฏิทิน'!EA5))</f>
        <v/>
      </c>
      <c r="EB6" s="473">
        <f>IF('ปฏิทิน'!EB5="","",DAY('ปฏิทิน'!EB5))</f>
        <v/>
      </c>
      <c r="EC6" s="473">
        <f>IF('ปฏิทิน'!EC5="","",DAY('ปฏิทิน'!EC5))</f>
        <v/>
      </c>
      <c r="ED6" s="473">
        <f>IF('ปฏิทิน'!ED5="","",DAY('ปฏิทิน'!ED5))</f>
        <v/>
      </c>
      <c r="EE6" s="473">
        <f>IF('ปฏิทิน'!EE5="","",DAY('ปฏิทิน'!EE5))</f>
        <v/>
      </c>
      <c r="EF6" s="473">
        <f>IF('ปฏิทิน'!EF5="","",DAY('ปฏิทิน'!EF5))</f>
        <v/>
      </c>
      <c r="EG6" s="477" t="inlineStr">
        <is>
          <t>แปรง</t>
        </is>
      </c>
      <c r="EH6" s="478" t="inlineStr">
        <is>
          <t>ไม่
แปรง</t>
        </is>
      </c>
      <c r="EI6" s="479" t="inlineStr">
        <is>
          <t>ร้อยละ</t>
        </is>
      </c>
      <c r="EJ6" s="476">
        <f>IF('ปฏิทิน'!EJ5="","",DAY('ปฏิทิน'!EJ5))</f>
        <v/>
      </c>
      <c r="EK6" s="473">
        <f>IF('ปฏิทิน'!EK5="","",DAY('ปฏิทิน'!EK5))</f>
        <v/>
      </c>
      <c r="EL6" s="473">
        <f>IF('ปฏิทิน'!EL5="","",DAY('ปฏิทิน'!EL5))</f>
        <v/>
      </c>
      <c r="EM6" s="473">
        <f>IF('ปฏิทิน'!EM5="","",DAY('ปฏิทิน'!EM5))</f>
        <v/>
      </c>
      <c r="EN6" s="473">
        <f>IF('ปฏิทิน'!EN5="","",DAY('ปฏิทิน'!EN5))</f>
        <v/>
      </c>
      <c r="EO6" s="473">
        <f>IF('ปฏิทิน'!EO5="","",DAY('ปฏิทิน'!EO5))</f>
        <v/>
      </c>
      <c r="EP6" s="473">
        <f>IF('ปฏิทิน'!EP5="","",DAY('ปฏิทิน'!EP5))</f>
        <v/>
      </c>
      <c r="EQ6" s="473">
        <f>IF('ปฏิทิน'!EQ5="","",DAY('ปฏิทิน'!EQ5))</f>
        <v/>
      </c>
      <c r="ER6" s="473">
        <f>IF('ปฏิทิน'!ER5="","",DAY('ปฏิทิน'!ER5))</f>
        <v/>
      </c>
      <c r="ES6" s="473">
        <f>IF('ปฏิทิน'!ES5="","",DAY('ปฏิทิน'!ES5))</f>
        <v/>
      </c>
      <c r="ET6" s="473">
        <f>IF('ปฏิทิน'!ET5="","",DAY('ปฏิทิน'!ET5))</f>
        <v/>
      </c>
      <c r="EU6" s="473">
        <f>IF('ปฏิทิน'!EU5="","",DAY('ปฏิทิน'!EU5))</f>
        <v/>
      </c>
      <c r="EV6" s="473">
        <f>IF('ปฏิทิน'!EV5="","",DAY('ปฏิทิน'!EV5))</f>
        <v/>
      </c>
      <c r="EW6" s="473">
        <f>IF('ปฏิทิน'!EW5="","",DAY('ปฏิทิน'!EW5))</f>
        <v/>
      </c>
      <c r="EX6" s="473">
        <f>IF('ปฏิทิน'!EX5="","",DAY('ปฏิทิน'!EX5))</f>
        <v/>
      </c>
      <c r="EY6" s="473">
        <f>IF('ปฏิทิน'!EY5="","",DAY('ปฏิทิน'!EY5))</f>
        <v/>
      </c>
      <c r="EZ6" s="473">
        <f>IF('ปฏิทิน'!EZ5="","",DAY('ปฏิทิน'!EZ5))</f>
        <v/>
      </c>
      <c r="FA6" s="473">
        <f>IF('ปฏิทิน'!FA5="","",DAY('ปฏิทิน'!FA5))</f>
        <v/>
      </c>
      <c r="FB6" s="473">
        <f>IF('ปฏิทิน'!FB5="","",DAY('ปฏิทิน'!FB5))</f>
        <v/>
      </c>
      <c r="FC6" s="473">
        <f>IF('ปฏิทิน'!FC5="","",DAY('ปฏิทิน'!FC5))</f>
        <v/>
      </c>
      <c r="FD6" s="473">
        <f>IF('ปฏิทิน'!FD5="","",DAY('ปฏิทิน'!FD5))</f>
        <v/>
      </c>
      <c r="FE6" s="473">
        <f>IF('ปฏิทิน'!FE5="","",DAY('ปฏิทิน'!FE5))</f>
        <v/>
      </c>
      <c r="FF6" s="473">
        <f>IF('ปฏิทิน'!FF5="","",DAY('ปฏิทิน'!FF5))</f>
        <v/>
      </c>
      <c r="FG6" s="473">
        <f>IF('ปฏิทิน'!FG5="","",DAY('ปฏิทิน'!FG5))</f>
        <v/>
      </c>
      <c r="FH6" s="473">
        <f>IF('ปฏิทิน'!FH5="","",DAY('ปฏิทิน'!FH5))</f>
        <v/>
      </c>
      <c r="FI6" s="473">
        <f>IF('ปฏิทิน'!FI5="","",DAY('ปฏิทิน'!FI5))</f>
        <v/>
      </c>
      <c r="FJ6" s="473">
        <f>IF('ปฏิทิน'!FJ5="","",DAY('ปฏิทิน'!FJ5))</f>
        <v/>
      </c>
      <c r="FK6" s="473">
        <f>IF('ปฏิทิน'!FK5="","",DAY('ปฏิทิน'!FK5))</f>
        <v/>
      </c>
      <c r="FL6" s="473">
        <f>IF('ปฏิทิน'!FL5="","",DAY('ปฏิทิน'!FL5))</f>
        <v/>
      </c>
      <c r="FM6" s="473">
        <f>IF('ปฏิทิน'!FM5="","",DAY('ปฏิทิน'!FM5))</f>
        <v/>
      </c>
      <c r="FN6" s="473">
        <f>IF('ปฏิทิน'!FN5="","",DAY('ปฏิทิน'!FN5))</f>
        <v/>
      </c>
      <c r="FO6" s="477" t="inlineStr">
        <is>
          <t>แปรง</t>
        </is>
      </c>
      <c r="FP6" s="478" t="inlineStr">
        <is>
          <t>ไม่
แปรง</t>
        </is>
      </c>
      <c r="FQ6" s="479" t="inlineStr">
        <is>
          <t>ร้อยละ</t>
        </is>
      </c>
    </row>
    <row r="7">
      <c r="D7" s="480">
        <f>IF('ปฏิทิน'!D5="","",CHOOSE(WEEKDAY('ปฏิทิน'!D5,2),"จ.","อ.","พ.","พฤ.","ศ.","ส.","อา."))</f>
        <v/>
      </c>
      <c r="E7" s="481">
        <f>IF('ปฏิทิน'!E5="","",CHOOSE(WEEKDAY('ปฏิทิน'!E5,2),"จ.","อ.","พ.","พฤ.","ศ.","ส.","อา."))</f>
        <v/>
      </c>
      <c r="F7" s="481">
        <f>IF('ปฏิทิน'!F5="","",CHOOSE(WEEKDAY('ปฏิทิน'!F5,2),"จ.","อ.","พ.","พฤ.","ศ.","ส.","อา."))</f>
        <v/>
      </c>
      <c r="G7" s="481">
        <f>IF('ปฏิทิน'!G5="","",CHOOSE(WEEKDAY('ปฏิทิน'!G5,2),"จ.","อ.","พ.","พฤ.","ศ.","ส.","อา."))</f>
        <v/>
      </c>
      <c r="H7" s="481">
        <f>IF('ปฏิทิน'!H5="","",CHOOSE(WEEKDAY('ปฏิทิน'!H5,2),"จ.","อ.","พ.","พฤ.","ศ.","ส.","อา."))</f>
        <v/>
      </c>
      <c r="I7" s="481">
        <f>IF('ปฏิทิน'!I5="","",CHOOSE(WEEKDAY('ปฏิทิน'!I5,2),"จ.","อ.","พ.","พฤ.","ศ.","ส.","อา."))</f>
        <v/>
      </c>
      <c r="J7" s="481">
        <f>IF('ปฏิทิน'!J5="","",CHOOSE(WEEKDAY('ปฏิทิน'!J5,2),"จ.","อ.","พ.","พฤ.","ศ.","ส.","อา."))</f>
        <v/>
      </c>
      <c r="K7" s="481">
        <f>IF('ปฏิทิน'!K5="","",CHOOSE(WEEKDAY('ปฏิทิน'!K5,2),"จ.","อ.","พ.","พฤ.","ศ.","ส.","อา."))</f>
        <v/>
      </c>
      <c r="L7" s="481">
        <f>IF('ปฏิทิน'!L5="","",CHOOSE(WEEKDAY('ปฏิทิน'!L5,2),"จ.","อ.","พ.","พฤ.","ศ.","ส.","อา."))</f>
        <v/>
      </c>
      <c r="M7" s="481">
        <f>IF('ปฏิทิน'!M5="","",CHOOSE(WEEKDAY('ปฏิทิน'!M5,2),"จ.","อ.","พ.","พฤ.","ศ.","ส.","อา."))</f>
        <v/>
      </c>
      <c r="N7" s="481">
        <f>IF('ปฏิทิน'!N5="","",CHOOSE(WEEKDAY('ปฏิทิน'!N5,2),"จ.","อ.","พ.","พฤ.","ศ.","ส.","อา."))</f>
        <v/>
      </c>
      <c r="O7" s="481">
        <f>IF('ปฏิทิน'!O5="","",CHOOSE(WEEKDAY('ปฏิทิน'!O5,2),"จ.","อ.","พ.","พฤ.","ศ.","ส.","อา."))</f>
        <v/>
      </c>
      <c r="P7" s="481">
        <f>IF('ปฏิทิน'!P5="","",CHOOSE(WEEKDAY('ปฏิทิน'!P5,2),"จ.","อ.","พ.","พฤ.","ศ.","ส.","อา."))</f>
        <v/>
      </c>
      <c r="Q7" s="481">
        <f>IF('ปฏิทิน'!Q5="","",CHOOSE(WEEKDAY('ปฏิทิน'!Q5,2),"จ.","อ.","พ.","พฤ.","ศ.","ส.","อา."))</f>
        <v/>
      </c>
      <c r="R7" s="481">
        <f>IF('ปฏิทิน'!R5="","",CHOOSE(WEEKDAY('ปฏิทิน'!R5,2),"จ.","อ.","พ.","พฤ.","ศ.","ส.","อา."))</f>
        <v/>
      </c>
      <c r="S7" s="481">
        <f>IF('ปฏิทิน'!S5="","",CHOOSE(WEEKDAY('ปฏิทิน'!S5,2),"จ.","อ.","พ.","พฤ.","ศ.","ส.","อา."))</f>
        <v/>
      </c>
      <c r="T7" s="481">
        <f>IF('ปฏิทิน'!T5="","",CHOOSE(WEEKDAY('ปฏิทิน'!T5,2),"จ.","อ.","พ.","พฤ.","ศ.","ส.","อา."))</f>
        <v/>
      </c>
      <c r="U7" s="481">
        <f>IF('ปฏิทิน'!U5="","",CHOOSE(WEEKDAY('ปฏิทิน'!U5,2),"จ.","อ.","พ.","พฤ.","ศ.","ส.","อา."))</f>
        <v/>
      </c>
      <c r="V7" s="481">
        <f>IF('ปฏิทิน'!V5="","",CHOOSE(WEEKDAY('ปฏิทิน'!V5,2),"จ.","อ.","พ.","พฤ.","ศ.","ส.","อา."))</f>
        <v/>
      </c>
      <c r="W7" s="481">
        <f>IF('ปฏิทิน'!W5="","",CHOOSE(WEEKDAY('ปฏิทิน'!W5,2),"จ.","อ.","พ.","พฤ.","ศ.","ส.","อา."))</f>
        <v/>
      </c>
      <c r="X7" s="481">
        <f>IF('ปฏิทิน'!X5="","",CHOOSE(WEEKDAY('ปฏิทิน'!X5,2),"จ.","อ.","พ.","พฤ.","ศ.","ส.","อา."))</f>
        <v/>
      </c>
      <c r="Y7" s="481">
        <f>IF('ปฏิทิน'!Y5="","",CHOOSE(WEEKDAY('ปฏิทิน'!Y5,2),"จ.","อ.","พ.","พฤ.","ศ.","ส.","อา."))</f>
        <v/>
      </c>
      <c r="Z7" s="481">
        <f>IF('ปฏิทิน'!Z5="","",CHOOSE(WEEKDAY('ปฏิทิน'!Z5,2),"จ.","อ.","พ.","พฤ.","ศ.","ส.","อา."))</f>
        <v/>
      </c>
      <c r="AA7" s="481">
        <f>IF('ปฏิทิน'!AA5="","",CHOOSE(WEEKDAY('ปฏิทิน'!AA5,2),"จ.","อ.","พ.","พฤ.","ศ.","ส.","อา."))</f>
        <v/>
      </c>
      <c r="AB7" s="481">
        <f>IF('ปฏิทิน'!AB5="","",CHOOSE(WEEKDAY('ปฏิทิน'!AB5,2),"จ.","อ.","พ.","พฤ.","ศ.","ส.","อา."))</f>
        <v/>
      </c>
      <c r="AC7" s="481">
        <f>IF('ปฏิทิน'!AC5="","",CHOOSE(WEEKDAY('ปฏิทิน'!AC5,2),"จ.","อ.","พ.","พฤ.","ศ.","ส.","อา."))</f>
        <v/>
      </c>
      <c r="AD7" s="481">
        <f>IF('ปฏิทิน'!AD5="","",CHOOSE(WEEKDAY('ปฏิทิน'!AD5,2),"จ.","อ.","พ.","พฤ.","ศ.","ส.","อา."))</f>
        <v/>
      </c>
      <c r="AE7" s="481">
        <f>IF('ปฏิทิน'!AE5="","",CHOOSE(WEEKDAY('ปฏิทิน'!AE5,2),"จ.","อ.","พ.","พฤ.","ศ.","ส.","อา."))</f>
        <v/>
      </c>
      <c r="AF7" s="481">
        <f>IF('ปฏิทิน'!AF5="","",CHOOSE(WEEKDAY('ปฏิทิน'!AF5,2),"จ.","อ.","พ.","พฤ.","ศ.","ส.","อา."))</f>
        <v/>
      </c>
      <c r="AG7" s="481">
        <f>IF('ปฏิทิน'!AG5="","",CHOOSE(WEEKDAY('ปฏิทิน'!AG5,2),"จ.","อ.","พ.","พฤ.","ศ.","ส.","อา."))</f>
        <v/>
      </c>
      <c r="AH7" s="481">
        <f>IF('ปฏิทิน'!AH5="","",CHOOSE(WEEKDAY('ปฏิทิน'!AH5,2),"จ.","อ.","พ.","พฤ.","ศ.","ส.","อา."))</f>
        <v/>
      </c>
      <c r="AI7" s="482" t="n"/>
      <c r="AL7" s="480">
        <f>IF('ปฏิทิน'!AL5="","",CHOOSE(WEEKDAY('ปฏิทิน'!AL5,2),"จ.","อ.","พ.","พฤ.","ศ.","ส.","อา."))</f>
        <v/>
      </c>
      <c r="AM7" s="481">
        <f>IF('ปฏิทิน'!AM5="","",CHOOSE(WEEKDAY('ปฏิทิน'!AM5,2),"จ.","อ.","พ.","พฤ.","ศ.","ส.","อา."))</f>
        <v/>
      </c>
      <c r="AN7" s="481">
        <f>IF('ปฏิทิน'!AN5="","",CHOOSE(WEEKDAY('ปฏิทิน'!AN5,2),"จ.","อ.","พ.","พฤ.","ศ.","ส.","อา."))</f>
        <v/>
      </c>
      <c r="AO7" s="481">
        <f>IF('ปฏิทิน'!AO5="","",CHOOSE(WEEKDAY('ปฏิทิน'!AO5,2),"จ.","อ.","พ.","พฤ.","ศ.","ส.","อา."))</f>
        <v/>
      </c>
      <c r="AP7" s="481">
        <f>IF('ปฏิทิน'!AP5="","",CHOOSE(WEEKDAY('ปฏิทิน'!AP5,2),"จ.","อ.","พ.","พฤ.","ศ.","ส.","อา."))</f>
        <v/>
      </c>
      <c r="AQ7" s="481">
        <f>IF('ปฏิทิน'!AQ5="","",CHOOSE(WEEKDAY('ปฏิทิน'!AQ5,2),"จ.","อ.","พ.","พฤ.","ศ.","ส.","อา."))</f>
        <v/>
      </c>
      <c r="AR7" s="481">
        <f>IF('ปฏิทิน'!AR5="","",CHOOSE(WEEKDAY('ปฏิทิน'!AR5,2),"จ.","อ.","พ.","พฤ.","ศ.","ส.","อา."))</f>
        <v/>
      </c>
      <c r="AS7" s="481">
        <f>IF('ปฏิทิน'!AS5="","",CHOOSE(WEEKDAY('ปฏิทิน'!AS5,2),"จ.","อ.","พ.","พฤ.","ศ.","ส.","อา."))</f>
        <v/>
      </c>
      <c r="AT7" s="481">
        <f>IF('ปฏิทิน'!AT5="","",CHOOSE(WEEKDAY('ปฏิทิน'!AT5,2),"จ.","อ.","พ.","พฤ.","ศ.","ส.","อา."))</f>
        <v/>
      </c>
      <c r="AU7" s="481">
        <f>IF('ปฏิทิน'!AU5="","",CHOOSE(WEEKDAY('ปฏิทิน'!AU5,2),"จ.","อ.","พ.","พฤ.","ศ.","ส.","อา."))</f>
        <v/>
      </c>
      <c r="AV7" s="481">
        <f>IF('ปฏิทิน'!AV5="","",CHOOSE(WEEKDAY('ปฏิทิน'!AV5,2),"จ.","อ.","พ.","พฤ.","ศ.","ส.","อา."))</f>
        <v/>
      </c>
      <c r="AW7" s="481">
        <f>IF('ปฏิทิน'!AW5="","",CHOOSE(WEEKDAY('ปฏิทิน'!AW5,2),"จ.","อ.","พ.","พฤ.","ศ.","ส.","อา."))</f>
        <v/>
      </c>
      <c r="AX7" s="481">
        <f>IF('ปฏิทิน'!AX5="","",CHOOSE(WEEKDAY('ปฏิทิน'!AX5,2),"จ.","อ.","พ.","พฤ.","ศ.","ส.","อา."))</f>
        <v/>
      </c>
      <c r="AY7" s="481">
        <f>IF('ปฏิทิน'!AY5="","",CHOOSE(WEEKDAY('ปฏิทิน'!AY5,2),"จ.","อ.","พ.","พฤ.","ศ.","ส.","อา."))</f>
        <v/>
      </c>
      <c r="AZ7" s="481">
        <f>IF('ปฏิทิน'!AZ5="","",CHOOSE(WEEKDAY('ปฏิทิน'!AZ5,2),"จ.","อ.","พ.","พฤ.","ศ.","ส.","อา."))</f>
        <v/>
      </c>
      <c r="BA7" s="481">
        <f>IF('ปฏิทิน'!BA5="","",CHOOSE(WEEKDAY('ปฏิทิน'!BA5,2),"จ.","อ.","พ.","พฤ.","ศ.","ส.","อา."))</f>
        <v/>
      </c>
      <c r="BB7" s="481">
        <f>IF('ปฏิทิน'!BB5="","",CHOOSE(WEEKDAY('ปฏิทิน'!BB5,2),"จ.","อ.","พ.","พฤ.","ศ.","ส.","อา."))</f>
        <v/>
      </c>
      <c r="BC7" s="481">
        <f>IF('ปฏิทิน'!BC5="","",CHOOSE(WEEKDAY('ปฏิทิน'!BC5,2),"จ.","อ.","พ.","พฤ.","ศ.","ส.","อา."))</f>
        <v/>
      </c>
      <c r="BD7" s="481">
        <f>IF('ปฏิทิน'!BD5="","",CHOOSE(WEEKDAY('ปฏิทิน'!BD5,2),"จ.","อ.","พ.","พฤ.","ศ.","ส.","อา."))</f>
        <v/>
      </c>
      <c r="BE7" s="481">
        <f>IF('ปฏิทิน'!BE5="","",CHOOSE(WEEKDAY('ปฏิทิน'!BE5,2),"จ.","อ.","พ.","พฤ.","ศ.","ส.","อา."))</f>
        <v/>
      </c>
      <c r="BF7" s="481">
        <f>IF('ปฏิทิน'!BF5="","",CHOOSE(WEEKDAY('ปฏิทิน'!BF5,2),"จ.","อ.","พ.","พฤ.","ศ.","ส.","อา."))</f>
        <v/>
      </c>
      <c r="BG7" s="481">
        <f>IF('ปฏิทิน'!BG5="","",CHOOSE(WEEKDAY('ปฏิทิน'!BG5,2),"จ.","อ.","พ.","พฤ.","ศ.","ส.","อา."))</f>
        <v/>
      </c>
      <c r="BH7" s="481">
        <f>IF('ปฏิทิน'!BH5="","",CHOOSE(WEEKDAY('ปฏิทิน'!BH5,2),"จ.","อ.","พ.","พฤ.","ศ.","ส.","อา."))</f>
        <v/>
      </c>
      <c r="BI7" s="481">
        <f>IF('ปฏิทิน'!BI5="","",CHOOSE(WEEKDAY('ปฏิทิน'!BI5,2),"จ.","อ.","พ.","พฤ.","ศ.","ส.","อา."))</f>
        <v/>
      </c>
      <c r="BJ7" s="481">
        <f>IF('ปฏิทิน'!BJ5="","",CHOOSE(WEEKDAY('ปฏิทิน'!BJ5,2),"จ.","อ.","พ.","พฤ.","ศ.","ส.","อา."))</f>
        <v/>
      </c>
      <c r="BK7" s="481">
        <f>IF('ปฏิทิน'!BK5="","",CHOOSE(WEEKDAY('ปฏิทิน'!BK5,2),"จ.","อ.","พ.","พฤ.","ศ.","ส.","อา."))</f>
        <v/>
      </c>
      <c r="BL7" s="481">
        <f>IF('ปฏิทิน'!BL5="","",CHOOSE(WEEKDAY('ปฏิทิน'!BL5,2),"จ.","อ.","พ.","พฤ.","ศ.","ส.","อา."))</f>
        <v/>
      </c>
      <c r="BM7" s="481">
        <f>IF('ปฏิทิน'!BM5="","",CHOOSE(WEEKDAY('ปฏิทิน'!BM5,2),"จ.","อ.","พ.","พฤ.","ศ.","ส.","อา."))</f>
        <v/>
      </c>
      <c r="BN7" s="481">
        <f>IF('ปฏิทิน'!BN5="","",CHOOSE(WEEKDAY('ปฏิทิน'!BN5,2),"จ.","อ.","พ.","พฤ.","ศ.","ส.","อา."))</f>
        <v/>
      </c>
      <c r="BO7" s="481">
        <f>IF('ปฏิทิน'!BO5="","",CHOOSE(WEEKDAY('ปฏิทิน'!BO5,2),"จ.","อ.","พ.","พฤ.","ศ.","ส.","อา."))</f>
        <v/>
      </c>
      <c r="BP7" s="481">
        <f>IF('ปฏิทิน'!BP5="","",CHOOSE(WEEKDAY('ปฏิทิน'!BP5,2),"จ.","อ.","พ.","พฤ.","ศ.","ส.","อา."))</f>
        <v/>
      </c>
      <c r="BQ7" s="482" t="n"/>
      <c r="BT7" s="480">
        <f>IF('ปฏิทิน'!BT5="","",CHOOSE(WEEKDAY('ปฏิทิน'!BT5,2),"จ.","อ.","พ.","พฤ.","ศ.","ส.","อา."))</f>
        <v/>
      </c>
      <c r="BU7" s="481">
        <f>IF('ปฏิทิน'!BU5="","",CHOOSE(WEEKDAY('ปฏิทิน'!BU5,2),"จ.","อ.","พ.","พฤ.","ศ.","ส.","อา."))</f>
        <v/>
      </c>
      <c r="BV7" s="481">
        <f>IF('ปฏิทิน'!BV5="","",CHOOSE(WEEKDAY('ปฏิทิน'!BV5,2),"จ.","อ.","พ.","พฤ.","ศ.","ส.","อา."))</f>
        <v/>
      </c>
      <c r="BW7" s="481">
        <f>IF('ปฏิทิน'!BW5="","",CHOOSE(WEEKDAY('ปฏิทิน'!BW5,2),"จ.","อ.","พ.","พฤ.","ศ.","ส.","อา."))</f>
        <v/>
      </c>
      <c r="BX7" s="481">
        <f>IF('ปฏิทิน'!BX5="","",CHOOSE(WEEKDAY('ปฏิทิน'!BX5,2),"จ.","อ.","พ.","พฤ.","ศ.","ส.","อา."))</f>
        <v/>
      </c>
      <c r="BY7" s="481">
        <f>IF('ปฏิทิน'!BY5="","",CHOOSE(WEEKDAY('ปฏิทิน'!BY5,2),"จ.","อ.","พ.","พฤ.","ศ.","ส.","อา."))</f>
        <v/>
      </c>
      <c r="BZ7" s="481">
        <f>IF('ปฏิทิน'!BZ5="","",CHOOSE(WEEKDAY('ปฏิทิน'!BZ5,2),"จ.","อ.","พ.","พฤ.","ศ.","ส.","อา."))</f>
        <v/>
      </c>
      <c r="CA7" s="481">
        <f>IF('ปฏิทิน'!CA5="","",CHOOSE(WEEKDAY('ปฏิทิน'!CA5,2),"จ.","อ.","พ.","พฤ.","ศ.","ส.","อา."))</f>
        <v/>
      </c>
      <c r="CB7" s="481">
        <f>IF('ปฏิทิน'!CB5="","",CHOOSE(WEEKDAY('ปฏิทิน'!CB5,2),"จ.","อ.","พ.","พฤ.","ศ.","ส.","อา."))</f>
        <v/>
      </c>
      <c r="CC7" s="481">
        <f>IF('ปฏิทิน'!CC5="","",CHOOSE(WEEKDAY('ปฏิทิน'!CC5,2),"จ.","อ.","พ.","พฤ.","ศ.","ส.","อา."))</f>
        <v/>
      </c>
      <c r="CD7" s="481">
        <f>IF('ปฏิทิน'!CD5="","",CHOOSE(WEEKDAY('ปฏิทิน'!CD5,2),"จ.","อ.","พ.","พฤ.","ศ.","ส.","อา."))</f>
        <v/>
      </c>
      <c r="CE7" s="481">
        <f>IF('ปฏิทิน'!CE5="","",CHOOSE(WEEKDAY('ปฏิทิน'!CE5,2),"จ.","อ.","พ.","พฤ.","ศ.","ส.","อา."))</f>
        <v/>
      </c>
      <c r="CF7" s="481">
        <f>IF('ปฏิทิน'!CF5="","",CHOOSE(WEEKDAY('ปฏิทิน'!CF5,2),"จ.","อ.","พ.","พฤ.","ศ.","ส.","อา."))</f>
        <v/>
      </c>
      <c r="CG7" s="481">
        <f>IF('ปฏิทิน'!CG5="","",CHOOSE(WEEKDAY('ปฏิทิน'!CG5,2),"จ.","อ.","พ.","พฤ.","ศ.","ส.","อา."))</f>
        <v/>
      </c>
      <c r="CH7" s="481">
        <f>IF('ปฏิทิน'!CH5="","",CHOOSE(WEEKDAY('ปฏิทิน'!CH5,2),"จ.","อ.","พ.","พฤ.","ศ.","ส.","อา."))</f>
        <v/>
      </c>
      <c r="CI7" s="481">
        <f>IF('ปฏิทิน'!CI5="","",CHOOSE(WEEKDAY('ปฏิทิน'!CI5,2),"จ.","อ.","พ.","พฤ.","ศ.","ส.","อา."))</f>
        <v/>
      </c>
      <c r="CJ7" s="481">
        <f>IF('ปฏิทิน'!CJ5="","",CHOOSE(WEEKDAY('ปฏิทิน'!CJ5,2),"จ.","อ.","พ.","พฤ.","ศ.","ส.","อา."))</f>
        <v/>
      </c>
      <c r="CK7" s="481">
        <f>IF('ปฏิทิน'!CK5="","",CHOOSE(WEEKDAY('ปฏิทิน'!CK5,2),"จ.","อ.","พ.","พฤ.","ศ.","ส.","อา."))</f>
        <v/>
      </c>
      <c r="CL7" s="481">
        <f>IF('ปฏิทิน'!CL5="","",CHOOSE(WEEKDAY('ปฏิทิน'!CL5,2),"จ.","อ.","พ.","พฤ.","ศ.","ส.","อา."))</f>
        <v/>
      </c>
      <c r="CM7" s="481">
        <f>IF('ปฏิทิน'!CM5="","",CHOOSE(WEEKDAY('ปฏิทิน'!CM5,2),"จ.","อ.","พ.","พฤ.","ศ.","ส.","อา."))</f>
        <v/>
      </c>
      <c r="CN7" s="481">
        <f>IF('ปฏิทิน'!CN5="","",CHOOSE(WEEKDAY('ปฏิทิน'!CN5,2),"จ.","อ.","พ.","พฤ.","ศ.","ส.","อา."))</f>
        <v/>
      </c>
      <c r="CO7" s="481">
        <f>IF('ปฏิทิน'!CO5="","",CHOOSE(WEEKDAY('ปฏิทิน'!CO5,2),"จ.","อ.","พ.","พฤ.","ศ.","ส.","อา."))</f>
        <v/>
      </c>
      <c r="CP7" s="481">
        <f>IF('ปฏิทิน'!CP5="","",CHOOSE(WEEKDAY('ปฏิทิน'!CP5,2),"จ.","อ.","พ.","พฤ.","ศ.","ส.","อา."))</f>
        <v/>
      </c>
      <c r="CQ7" s="481">
        <f>IF('ปฏิทิน'!CQ5="","",CHOOSE(WEEKDAY('ปฏิทิน'!CQ5,2),"จ.","อ.","พ.","พฤ.","ศ.","ส.","อา."))</f>
        <v/>
      </c>
      <c r="CR7" s="481">
        <f>IF('ปฏิทิน'!CR5="","",CHOOSE(WEEKDAY('ปฏิทิน'!CR5,2),"จ.","อ.","พ.","พฤ.","ศ.","ส.","อา."))</f>
        <v/>
      </c>
      <c r="CS7" s="481">
        <f>IF('ปฏิทิน'!CS5="","",CHOOSE(WEEKDAY('ปฏิทิน'!CS5,2),"จ.","อ.","พ.","พฤ.","ศ.","ส.","อา."))</f>
        <v/>
      </c>
      <c r="CT7" s="481">
        <f>IF('ปฏิทิน'!CT5="","",CHOOSE(WEEKDAY('ปฏิทิน'!CT5,2),"จ.","อ.","พ.","พฤ.","ศ.","ส.","อา."))</f>
        <v/>
      </c>
      <c r="CU7" s="481">
        <f>IF('ปฏิทิน'!CU5="","",CHOOSE(WEEKDAY('ปฏิทิน'!CU5,2),"จ.","อ.","พ.","พฤ.","ศ.","ส.","อา."))</f>
        <v/>
      </c>
      <c r="CV7" s="481">
        <f>IF('ปฏิทิน'!CV5="","",CHOOSE(WEEKDAY('ปฏิทิน'!CV5,2),"จ.","อ.","พ.","พฤ.","ศ.","ส.","อา."))</f>
        <v/>
      </c>
      <c r="CW7" s="481">
        <f>IF('ปฏิทิน'!CW5="","",CHOOSE(WEEKDAY('ปฏิทิน'!CW5,2),"จ.","อ.","พ.","พฤ.","ศ.","ส.","อา."))</f>
        <v/>
      </c>
      <c r="CX7" s="481">
        <f>IF('ปฏิทิน'!CX5="","",CHOOSE(WEEKDAY('ปฏิทิน'!CX5,2),"จ.","อ.","พ.","พฤ.","ศ.","ส.","อา."))</f>
        <v/>
      </c>
      <c r="CY7" s="482" t="n"/>
      <c r="DB7" s="480">
        <f>IF('ปฏิทิน'!DB5="","",CHOOSE(WEEKDAY('ปฏิทิน'!DB5,2),"จ.","อ.","พ.","พฤ.","ศ.","ส.","อา."))</f>
        <v/>
      </c>
      <c r="DC7" s="481">
        <f>IF('ปฏิทิน'!DC5="","",CHOOSE(WEEKDAY('ปฏิทิน'!DC5,2),"จ.","อ.","พ.","พฤ.","ศ.","ส.","อา."))</f>
        <v/>
      </c>
      <c r="DD7" s="481">
        <f>IF('ปฏิทิน'!DD5="","",CHOOSE(WEEKDAY('ปฏิทิน'!DD5,2),"จ.","อ.","พ.","พฤ.","ศ.","ส.","อา."))</f>
        <v/>
      </c>
      <c r="DE7" s="481">
        <f>IF('ปฏิทิน'!DE5="","",CHOOSE(WEEKDAY('ปฏิทิน'!DE5,2),"จ.","อ.","พ.","พฤ.","ศ.","ส.","อา."))</f>
        <v/>
      </c>
      <c r="DF7" s="481">
        <f>IF('ปฏิทิน'!DF5="","",CHOOSE(WEEKDAY('ปฏิทิน'!DF5,2),"จ.","อ.","พ.","พฤ.","ศ.","ส.","อา."))</f>
        <v/>
      </c>
      <c r="DG7" s="481">
        <f>IF('ปฏิทิน'!DG5="","",CHOOSE(WEEKDAY('ปฏิทิน'!DG5,2),"จ.","อ.","พ.","พฤ.","ศ.","ส.","อา."))</f>
        <v/>
      </c>
      <c r="DH7" s="481">
        <f>IF('ปฏิทิน'!DH5="","",CHOOSE(WEEKDAY('ปฏิทิน'!DH5,2),"จ.","อ.","พ.","พฤ.","ศ.","ส.","อา."))</f>
        <v/>
      </c>
      <c r="DI7" s="481">
        <f>IF('ปฏิทิน'!DI5="","",CHOOSE(WEEKDAY('ปฏิทิน'!DI5,2),"จ.","อ.","พ.","พฤ.","ศ.","ส.","อา."))</f>
        <v/>
      </c>
      <c r="DJ7" s="481">
        <f>IF('ปฏิทิน'!DJ5="","",CHOOSE(WEEKDAY('ปฏิทิน'!DJ5,2),"จ.","อ.","พ.","พฤ.","ศ.","ส.","อา."))</f>
        <v/>
      </c>
      <c r="DK7" s="481">
        <f>IF('ปฏิทิน'!DK5="","",CHOOSE(WEEKDAY('ปฏิทิน'!DK5,2),"จ.","อ.","พ.","พฤ.","ศ.","ส.","อา."))</f>
        <v/>
      </c>
      <c r="DL7" s="481">
        <f>IF('ปฏิทิน'!DL5="","",CHOOSE(WEEKDAY('ปฏิทิน'!DL5,2),"จ.","อ.","พ.","พฤ.","ศ.","ส.","อา."))</f>
        <v/>
      </c>
      <c r="DM7" s="481">
        <f>IF('ปฏิทิน'!DM5="","",CHOOSE(WEEKDAY('ปฏิทิน'!DM5,2),"จ.","อ.","พ.","พฤ.","ศ.","ส.","อา."))</f>
        <v/>
      </c>
      <c r="DN7" s="481">
        <f>IF('ปฏิทิน'!DN5="","",CHOOSE(WEEKDAY('ปฏิทิน'!DN5,2),"จ.","อ.","พ.","พฤ.","ศ.","ส.","อา."))</f>
        <v/>
      </c>
      <c r="DO7" s="481">
        <f>IF('ปฏิทิน'!DO5="","",CHOOSE(WEEKDAY('ปฏิทิน'!DO5,2),"จ.","อ.","พ.","พฤ.","ศ.","ส.","อา."))</f>
        <v/>
      </c>
      <c r="DP7" s="481">
        <f>IF('ปฏิทิน'!DP5="","",CHOOSE(WEEKDAY('ปฏิทิน'!DP5,2),"จ.","อ.","พ.","พฤ.","ศ.","ส.","อา."))</f>
        <v/>
      </c>
      <c r="DQ7" s="481">
        <f>IF('ปฏิทิน'!DQ5="","",CHOOSE(WEEKDAY('ปฏิทิน'!DQ5,2),"จ.","อ.","พ.","พฤ.","ศ.","ส.","อา."))</f>
        <v/>
      </c>
      <c r="DR7" s="481">
        <f>IF('ปฏิทิน'!DR5="","",CHOOSE(WEEKDAY('ปฏิทิน'!DR5,2),"จ.","อ.","พ.","พฤ.","ศ.","ส.","อา."))</f>
        <v/>
      </c>
      <c r="DS7" s="481">
        <f>IF('ปฏิทิน'!DS5="","",CHOOSE(WEEKDAY('ปฏิทิน'!DS5,2),"จ.","อ.","พ.","พฤ.","ศ.","ส.","อา."))</f>
        <v/>
      </c>
      <c r="DT7" s="481">
        <f>IF('ปฏิทิน'!DT5="","",CHOOSE(WEEKDAY('ปฏิทิน'!DT5,2),"จ.","อ.","พ.","พฤ.","ศ.","ส.","อา."))</f>
        <v/>
      </c>
      <c r="DU7" s="481">
        <f>IF('ปฏิทิน'!DU5="","",CHOOSE(WEEKDAY('ปฏิทิน'!DU5,2),"จ.","อ.","พ.","พฤ.","ศ.","ส.","อา."))</f>
        <v/>
      </c>
      <c r="DV7" s="481">
        <f>IF('ปฏิทิน'!DV5="","",CHOOSE(WEEKDAY('ปฏิทิน'!DV5,2),"จ.","อ.","พ.","พฤ.","ศ.","ส.","อา."))</f>
        <v/>
      </c>
      <c r="DW7" s="481">
        <f>IF('ปฏิทิน'!DW5="","",CHOOSE(WEEKDAY('ปฏิทิน'!DW5,2),"จ.","อ.","พ.","พฤ.","ศ.","ส.","อา."))</f>
        <v/>
      </c>
      <c r="DX7" s="481">
        <f>IF('ปฏิทิน'!DX5="","",CHOOSE(WEEKDAY('ปฏิทิน'!DX5,2),"จ.","อ.","พ.","พฤ.","ศ.","ส.","อา."))</f>
        <v/>
      </c>
      <c r="DY7" s="481">
        <f>IF('ปฏิทิน'!DY5="","",CHOOSE(WEEKDAY('ปฏิทิน'!DY5,2),"จ.","อ.","พ.","พฤ.","ศ.","ส.","อา."))</f>
        <v/>
      </c>
      <c r="DZ7" s="481">
        <f>IF('ปฏิทิน'!DZ5="","",CHOOSE(WEEKDAY('ปฏิทิน'!DZ5,2),"จ.","อ.","พ.","พฤ.","ศ.","ส.","อา."))</f>
        <v/>
      </c>
      <c r="EA7" s="481">
        <f>IF('ปฏิทิน'!EA5="","",CHOOSE(WEEKDAY('ปฏิทิน'!EA5,2),"จ.","อ.","พ.","พฤ.","ศ.","ส.","อา."))</f>
        <v/>
      </c>
      <c r="EB7" s="481">
        <f>IF('ปฏิทิน'!EB5="","",CHOOSE(WEEKDAY('ปฏิทิน'!EB5,2),"จ.","อ.","พ.","พฤ.","ศ.","ส.","อา."))</f>
        <v/>
      </c>
      <c r="EC7" s="481">
        <f>IF('ปฏิทิน'!EC5="","",CHOOSE(WEEKDAY('ปฏิทิน'!EC5,2),"จ.","อ.","พ.","พฤ.","ศ.","ส.","อา."))</f>
        <v/>
      </c>
      <c r="ED7" s="481">
        <f>IF('ปฏิทิน'!ED5="","",CHOOSE(WEEKDAY('ปฏิทิน'!ED5,2),"จ.","อ.","พ.","พฤ.","ศ.","ส.","อา."))</f>
        <v/>
      </c>
      <c r="EE7" s="481">
        <f>IF('ปฏิทิน'!EE5="","",CHOOSE(WEEKDAY('ปฏิทิน'!EE5,2),"จ.","อ.","พ.","พฤ.","ศ.","ส.","อา."))</f>
        <v/>
      </c>
      <c r="EF7" s="481">
        <f>IF('ปฏิทิน'!EF5="","",CHOOSE(WEEKDAY('ปฏิทิน'!EF5,2),"จ.","อ.","พ.","พฤ.","ศ.","ส.","อา."))</f>
        <v/>
      </c>
      <c r="EG7" s="482" t="n"/>
      <c r="EJ7" s="480">
        <f>IF('ปฏิทิน'!EJ5="","",CHOOSE(WEEKDAY('ปฏิทิน'!EJ5,2),"จ.","อ.","พ.","พฤ.","ศ.","ส.","อา."))</f>
        <v/>
      </c>
      <c r="EK7" s="481">
        <f>IF('ปฏิทิน'!EK5="","",CHOOSE(WEEKDAY('ปฏิทิน'!EK5,2),"จ.","อ.","พ.","พฤ.","ศ.","ส.","อา."))</f>
        <v/>
      </c>
      <c r="EL7" s="481">
        <f>IF('ปฏิทิน'!EL5="","",CHOOSE(WEEKDAY('ปฏิทิน'!EL5,2),"จ.","อ.","พ.","พฤ.","ศ.","ส.","อา."))</f>
        <v/>
      </c>
      <c r="EM7" s="481">
        <f>IF('ปฏิทิน'!EM5="","",CHOOSE(WEEKDAY('ปฏิทิน'!EM5,2),"จ.","อ.","พ.","พฤ.","ศ.","ส.","อา."))</f>
        <v/>
      </c>
      <c r="EN7" s="481">
        <f>IF('ปฏิทิน'!EN5="","",CHOOSE(WEEKDAY('ปฏิทิน'!EN5,2),"จ.","อ.","พ.","พฤ.","ศ.","ส.","อา."))</f>
        <v/>
      </c>
      <c r="EO7" s="481">
        <f>IF('ปฏิทิน'!EO5="","",CHOOSE(WEEKDAY('ปฏิทิน'!EO5,2),"จ.","อ.","พ.","พฤ.","ศ.","ส.","อา."))</f>
        <v/>
      </c>
      <c r="EP7" s="481">
        <f>IF('ปฏิทิน'!EP5="","",CHOOSE(WEEKDAY('ปฏิทิน'!EP5,2),"จ.","อ.","พ.","พฤ.","ศ.","ส.","อา."))</f>
        <v/>
      </c>
      <c r="EQ7" s="481">
        <f>IF('ปฏิทิน'!EQ5="","",CHOOSE(WEEKDAY('ปฏิทิน'!EQ5,2),"จ.","อ.","พ.","พฤ.","ศ.","ส.","อา."))</f>
        <v/>
      </c>
      <c r="ER7" s="481">
        <f>IF('ปฏิทิน'!ER5="","",CHOOSE(WEEKDAY('ปฏิทิน'!ER5,2),"จ.","อ.","พ.","พฤ.","ศ.","ส.","อา."))</f>
        <v/>
      </c>
      <c r="ES7" s="481">
        <f>IF('ปฏิทิน'!ES5="","",CHOOSE(WEEKDAY('ปฏิทิน'!ES5,2),"จ.","อ.","พ.","พฤ.","ศ.","ส.","อา."))</f>
        <v/>
      </c>
      <c r="ET7" s="481">
        <f>IF('ปฏิทิน'!ET5="","",CHOOSE(WEEKDAY('ปฏิทิน'!ET5,2),"จ.","อ.","พ.","พฤ.","ศ.","ส.","อา."))</f>
        <v/>
      </c>
      <c r="EU7" s="481">
        <f>IF('ปฏิทิน'!EU5="","",CHOOSE(WEEKDAY('ปฏิทิน'!EU5,2),"จ.","อ.","พ.","พฤ.","ศ.","ส.","อา."))</f>
        <v/>
      </c>
      <c r="EV7" s="481">
        <f>IF('ปฏิทิน'!EV5="","",CHOOSE(WEEKDAY('ปฏิทิน'!EV5,2),"จ.","อ.","พ.","พฤ.","ศ.","ส.","อา."))</f>
        <v/>
      </c>
      <c r="EW7" s="481">
        <f>IF('ปฏิทิน'!EW5="","",CHOOSE(WEEKDAY('ปฏิทิน'!EW5,2),"จ.","อ.","พ.","พฤ.","ศ.","ส.","อา."))</f>
        <v/>
      </c>
      <c r="EX7" s="481">
        <f>IF('ปฏิทิน'!EX5="","",CHOOSE(WEEKDAY('ปฏิทิน'!EX5,2),"จ.","อ.","พ.","พฤ.","ศ.","ส.","อา."))</f>
        <v/>
      </c>
      <c r="EY7" s="481">
        <f>IF('ปฏิทิน'!EY5="","",CHOOSE(WEEKDAY('ปฏิทิน'!EY5,2),"จ.","อ.","พ.","พฤ.","ศ.","ส.","อา."))</f>
        <v/>
      </c>
      <c r="EZ7" s="481">
        <f>IF('ปฏิทิน'!EZ5="","",CHOOSE(WEEKDAY('ปฏิทิน'!EZ5,2),"จ.","อ.","พ.","พฤ.","ศ.","ส.","อา."))</f>
        <v/>
      </c>
      <c r="FA7" s="481">
        <f>IF('ปฏิทิน'!FA5="","",CHOOSE(WEEKDAY('ปฏิทิน'!FA5,2),"จ.","อ.","พ.","พฤ.","ศ.","ส.","อา."))</f>
        <v/>
      </c>
      <c r="FB7" s="481">
        <f>IF('ปฏิทิน'!FB5="","",CHOOSE(WEEKDAY('ปฏิทิน'!FB5,2),"จ.","อ.","พ.","พฤ.","ศ.","ส.","อา."))</f>
        <v/>
      </c>
      <c r="FC7" s="481">
        <f>IF('ปฏิทิน'!FC5="","",CHOOSE(WEEKDAY('ปฏิทิน'!FC5,2),"จ.","อ.","พ.","พฤ.","ศ.","ส.","อา."))</f>
        <v/>
      </c>
      <c r="FD7" s="481">
        <f>IF('ปฏิทิน'!FD5="","",CHOOSE(WEEKDAY('ปฏิทิน'!FD5,2),"จ.","อ.","พ.","พฤ.","ศ.","ส.","อา."))</f>
        <v/>
      </c>
      <c r="FE7" s="481">
        <f>IF('ปฏิทิน'!FE5="","",CHOOSE(WEEKDAY('ปฏิทิน'!FE5,2),"จ.","อ.","พ.","พฤ.","ศ.","ส.","อา."))</f>
        <v/>
      </c>
      <c r="FF7" s="481">
        <f>IF('ปฏิทิน'!FF5="","",CHOOSE(WEEKDAY('ปฏิทิน'!FF5,2),"จ.","อ.","พ.","พฤ.","ศ.","ส.","อา."))</f>
        <v/>
      </c>
      <c r="FG7" s="481">
        <f>IF('ปฏิทิน'!FG5="","",CHOOSE(WEEKDAY('ปฏิทิน'!FG5,2),"จ.","อ.","พ.","พฤ.","ศ.","ส.","อา."))</f>
        <v/>
      </c>
      <c r="FH7" s="481">
        <f>IF('ปฏิทิน'!FH5="","",CHOOSE(WEEKDAY('ปฏิทิน'!FH5,2),"จ.","อ.","พ.","พฤ.","ศ.","ส.","อา."))</f>
        <v/>
      </c>
      <c r="FI7" s="481">
        <f>IF('ปฏิทิน'!FI5="","",CHOOSE(WEEKDAY('ปฏิทิน'!FI5,2),"จ.","อ.","พ.","พฤ.","ศ.","ส.","อา."))</f>
        <v/>
      </c>
      <c r="FJ7" s="481">
        <f>IF('ปฏิทิน'!FJ5="","",CHOOSE(WEEKDAY('ปฏิทิน'!FJ5,2),"จ.","อ.","พ.","พฤ.","ศ.","ส.","อา."))</f>
        <v/>
      </c>
      <c r="FK7" s="481">
        <f>IF('ปฏิทิน'!FK5="","",CHOOSE(WEEKDAY('ปฏิทิน'!FK5,2),"จ.","อ.","พ.","พฤ.","ศ.","ส.","อา."))</f>
        <v/>
      </c>
      <c r="FL7" s="481">
        <f>IF('ปฏิทิน'!FL5="","",CHOOSE(WEEKDAY('ปฏิทิน'!FL5,2),"จ.","อ.","พ.","พฤ.","ศ.","ส.","อา."))</f>
        <v/>
      </c>
      <c r="FM7" s="481">
        <f>IF('ปฏิทิน'!FM5="","",CHOOSE(WEEKDAY('ปฏิทิน'!FM5,2),"จ.","อ.","พ.","พฤ.","ศ.","ส.","อา."))</f>
        <v/>
      </c>
      <c r="FN7" s="481">
        <f>IF('ปฏิทิน'!FN5="","",CHOOSE(WEEKDAY('ปฏิทิน'!FN5,2),"จ.","อ.","พ.","พฤ.","ศ.","ส.","อา."))</f>
        <v/>
      </c>
      <c r="FO7" s="482" t="n"/>
    </row>
    <row r="8" ht="64" customHeight="1">
      <c r="D8" s="483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482" t="n"/>
      <c r="AL8" s="483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482" t="n"/>
      <c r="BT8" s="483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482" t="n"/>
      <c r="DB8" s="483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482" t="n"/>
      <c r="EJ8" s="483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482" t="n"/>
    </row>
    <row r="9">
      <c r="A9" s="218" t="n">
        <v>1</v>
      </c>
      <c r="B9" s="219">
        <f>'ข้อมูลนักเรียน'!T9</f>
        <v/>
      </c>
      <c r="C9" s="484">
        <f>IF(B9="","",IFERROR(COUNTIF(D9:FQ9,"✓")/(COUNTIF(D9:FQ9,"✓")+COUNTIF(D9:FQ9,"✗")),""))</f>
        <v/>
      </c>
      <c r="D9" s="48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486">
        <f>IF($B9="","",COUNTIF(D9:AH9,"✓"))</f>
        <v/>
      </c>
      <c r="AJ9" s="487">
        <f>IF($B9="","",COUNTIF(D9:AH9,"✗"))</f>
        <v/>
      </c>
      <c r="AK9" s="488">
        <f>IF($B9="","",IFERROR(ROUND(COUNTIF(D9:AH9,"✓")/(COUNTIF(D9:AH9,"✓")+COUNTIF(D9:AH9,"✗"))*100,0),""))</f>
        <v/>
      </c>
      <c r="AL9" s="48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486">
        <f>IF($B9="","",COUNTIF(AL9:BP9,"✓"))</f>
        <v/>
      </c>
      <c r="BR9" s="487">
        <f>IF($B9="","",COUNTIF(AL9:BP9,"✗"))</f>
        <v/>
      </c>
      <c r="BS9" s="488">
        <f>IF($B9="","",IFERROR(ROUND(COUNTIF(AL9:BP9,"✓")/(COUNTIF(AL9:BP9,"✓")+COUNTIF(AL9:BP9,"✗"))*100,0),""))</f>
        <v/>
      </c>
      <c r="BT9" s="48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486">
        <f>IF($B9="","",COUNTIF(BT9:CX9,"✓"))</f>
        <v/>
      </c>
      <c r="CZ9" s="487">
        <f>IF($B9="","",COUNTIF(BT9:CX9,"✗"))</f>
        <v/>
      </c>
      <c r="DA9" s="488">
        <f>IF($B9="","",IFERROR(ROUND(COUNTIF(BT9:CX9,"✓")/(COUNTIF(BT9:CX9,"✓")+COUNTIF(BT9:CX9,"✗"))*100,0),""))</f>
        <v/>
      </c>
      <c r="DB9" s="48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486">
        <f>IF($B9="","",COUNTIF(DB9:EF9,"✓"))</f>
        <v/>
      </c>
      <c r="EH9" s="487">
        <f>IF($B9="","",COUNTIF(DB9:EF9,"✗"))</f>
        <v/>
      </c>
      <c r="EI9" s="488">
        <f>IF($B9="","",IFERROR(ROUND(COUNTIF(DB9:EF9,"✓")/(COUNTIF(DB9:EF9,"✓")+COUNTIF(DB9:EF9,"✗"))*100,0),""))</f>
        <v/>
      </c>
      <c r="EJ9" s="48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486">
        <f>IF($B9="","",COUNTIF(EJ9:FN9,"✓"))</f>
        <v/>
      </c>
      <c r="FP9" s="487">
        <f>IF($B9="","",COUNTIF(EJ9:FN9,"✗"))</f>
        <v/>
      </c>
      <c r="FQ9" s="488">
        <f>IF($B9="","",IFERROR(ROUND(COUNTIF(EJ9:FN9,"✓")/(COUNTIF(EJ9:FN9,"✓")+COUNTIF(EJ9:FN9,"✗"))*100,0),""))</f>
        <v/>
      </c>
    </row>
    <row r="10">
      <c r="A10" s="226" t="n">
        <v>2</v>
      </c>
      <c r="B10" s="227">
        <f>'ข้อมูลนักเรียน'!T10</f>
        <v/>
      </c>
      <c r="C10" s="484">
        <f>IF(B10="","",IFERROR(COUNTIF(D10:FQ10,"✓")/(COUNTIF(D10:FQ10,"✓")+COUNTIF(D10:FQ10,"✗")),""))</f>
        <v/>
      </c>
      <c r="D10" s="48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486">
        <f>IF($B10="","",COUNTIF(D10:AH10,"✓"))</f>
        <v/>
      </c>
      <c r="AJ10" s="487">
        <f>IF($B10="","",COUNTIF(D10:AH10,"✗"))</f>
        <v/>
      </c>
      <c r="AK10" s="488">
        <f>IF($B10="","",IFERROR(ROUND(COUNTIF(D10:AH10,"✓")/(COUNTIF(D10:AH10,"✓")+COUNTIF(D10:AH10,"✗"))*100,0),""))</f>
        <v/>
      </c>
      <c r="AL10" s="48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486">
        <f>IF($B10="","",COUNTIF(AL10:BP10,"✓"))</f>
        <v/>
      </c>
      <c r="BR10" s="487">
        <f>IF($B10="","",COUNTIF(AL10:BP10,"✗"))</f>
        <v/>
      </c>
      <c r="BS10" s="488">
        <f>IF($B10="","",IFERROR(ROUND(COUNTIF(AL10:BP10,"✓")/(COUNTIF(AL10:BP10,"✓")+COUNTIF(AL10:BP10,"✗"))*100,0),""))</f>
        <v/>
      </c>
      <c r="BT10" s="48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486">
        <f>IF($B10="","",COUNTIF(BT10:CX10,"✓"))</f>
        <v/>
      </c>
      <c r="CZ10" s="487">
        <f>IF($B10="","",COUNTIF(BT10:CX10,"✗"))</f>
        <v/>
      </c>
      <c r="DA10" s="488">
        <f>IF($B10="","",IFERROR(ROUND(COUNTIF(BT10:CX10,"✓")/(COUNTIF(BT10:CX10,"✓")+COUNTIF(BT10:CX10,"✗"))*100,0),""))</f>
        <v/>
      </c>
      <c r="DB10" s="48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486">
        <f>IF($B10="","",COUNTIF(DB10:EF10,"✓"))</f>
        <v/>
      </c>
      <c r="EH10" s="487">
        <f>IF($B10="","",COUNTIF(DB10:EF10,"✗"))</f>
        <v/>
      </c>
      <c r="EI10" s="488">
        <f>IF($B10="","",IFERROR(ROUND(COUNTIF(DB10:EF10,"✓")/(COUNTIF(DB10:EF10,"✓")+COUNTIF(DB10:EF10,"✗"))*100,0),""))</f>
        <v/>
      </c>
      <c r="EJ10" s="48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486">
        <f>IF($B10="","",COUNTIF(EJ10:FN10,"✓"))</f>
        <v/>
      </c>
      <c r="FP10" s="487">
        <f>IF($B10="","",COUNTIF(EJ10:FN10,"✗"))</f>
        <v/>
      </c>
      <c r="FQ10" s="488">
        <f>IF($B10="","",IFERROR(ROUND(COUNTIF(EJ10:FN10,"✓")/(COUNTIF(EJ10:FN10,"✓")+COUNTIF(EJ10:FN10,"✗"))*100,0),""))</f>
        <v/>
      </c>
    </row>
    <row r="11">
      <c r="A11" s="218" t="n">
        <v>3</v>
      </c>
      <c r="B11" s="219">
        <f>'ข้อมูลนักเรียน'!T11</f>
        <v/>
      </c>
      <c r="C11" s="484">
        <f>IF(B11="","",IFERROR(COUNTIF(D11:FQ11,"✓")/(COUNTIF(D11:FQ11,"✓")+COUNTIF(D11:FQ11,"✗")),""))</f>
        <v/>
      </c>
      <c r="D11" s="48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486">
        <f>IF($B11="","",COUNTIF(D11:AH11,"✓"))</f>
        <v/>
      </c>
      <c r="AJ11" s="487">
        <f>IF($B11="","",COUNTIF(D11:AH11,"✗"))</f>
        <v/>
      </c>
      <c r="AK11" s="488">
        <f>IF($B11="","",IFERROR(ROUND(COUNTIF(D11:AH11,"✓")/(COUNTIF(D11:AH11,"✓")+COUNTIF(D11:AH11,"✗"))*100,0),""))</f>
        <v/>
      </c>
      <c r="AL11" s="48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486">
        <f>IF($B11="","",COUNTIF(AL11:BP11,"✓"))</f>
        <v/>
      </c>
      <c r="BR11" s="487">
        <f>IF($B11="","",COUNTIF(AL11:BP11,"✗"))</f>
        <v/>
      </c>
      <c r="BS11" s="488">
        <f>IF($B11="","",IFERROR(ROUND(COUNTIF(AL11:BP11,"✓")/(COUNTIF(AL11:BP11,"✓")+COUNTIF(AL11:BP11,"✗"))*100,0),""))</f>
        <v/>
      </c>
      <c r="BT11" s="48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486">
        <f>IF($B11="","",COUNTIF(BT11:CX11,"✓"))</f>
        <v/>
      </c>
      <c r="CZ11" s="487">
        <f>IF($B11="","",COUNTIF(BT11:CX11,"✗"))</f>
        <v/>
      </c>
      <c r="DA11" s="488">
        <f>IF($B11="","",IFERROR(ROUND(COUNTIF(BT11:CX11,"✓")/(COUNTIF(BT11:CX11,"✓")+COUNTIF(BT11:CX11,"✗"))*100,0),""))</f>
        <v/>
      </c>
      <c r="DB11" s="48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486">
        <f>IF($B11="","",COUNTIF(DB11:EF11,"✓"))</f>
        <v/>
      </c>
      <c r="EH11" s="487">
        <f>IF($B11="","",COUNTIF(DB11:EF11,"✗"))</f>
        <v/>
      </c>
      <c r="EI11" s="488">
        <f>IF($B11="","",IFERROR(ROUND(COUNTIF(DB11:EF11,"✓")/(COUNTIF(DB11:EF11,"✓")+COUNTIF(DB11:EF11,"✗"))*100,0),""))</f>
        <v/>
      </c>
      <c r="EJ11" s="48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486">
        <f>IF($B11="","",COUNTIF(EJ11:FN11,"✓"))</f>
        <v/>
      </c>
      <c r="FP11" s="487">
        <f>IF($B11="","",COUNTIF(EJ11:FN11,"✗"))</f>
        <v/>
      </c>
      <c r="FQ11" s="488">
        <f>IF($B11="","",IFERROR(ROUND(COUNTIF(EJ11:FN11,"✓")/(COUNTIF(EJ11:FN11,"✓")+COUNTIF(EJ11:FN11,"✗"))*100,0),""))</f>
        <v/>
      </c>
    </row>
    <row r="12">
      <c r="A12" s="226" t="n">
        <v>4</v>
      </c>
      <c r="B12" s="227">
        <f>'ข้อมูลนักเรียน'!T12</f>
        <v/>
      </c>
      <c r="C12" s="484">
        <f>IF(B12="","",IFERROR(COUNTIF(D12:FQ12,"✓")/(COUNTIF(D12:FQ12,"✓")+COUNTIF(D12:FQ12,"✗")),""))</f>
        <v/>
      </c>
      <c r="D12" s="48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486">
        <f>IF($B12="","",COUNTIF(D12:AH12,"✓"))</f>
        <v/>
      </c>
      <c r="AJ12" s="487">
        <f>IF($B12="","",COUNTIF(D12:AH12,"✗"))</f>
        <v/>
      </c>
      <c r="AK12" s="488">
        <f>IF($B12="","",IFERROR(ROUND(COUNTIF(D12:AH12,"✓")/(COUNTIF(D12:AH12,"✓")+COUNTIF(D12:AH12,"✗"))*100,0),""))</f>
        <v/>
      </c>
      <c r="AL12" s="48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486">
        <f>IF($B12="","",COUNTIF(AL12:BP12,"✓"))</f>
        <v/>
      </c>
      <c r="BR12" s="487">
        <f>IF($B12="","",COUNTIF(AL12:BP12,"✗"))</f>
        <v/>
      </c>
      <c r="BS12" s="488">
        <f>IF($B12="","",IFERROR(ROUND(COUNTIF(AL12:BP12,"✓")/(COUNTIF(AL12:BP12,"✓")+COUNTIF(AL12:BP12,"✗"))*100,0),""))</f>
        <v/>
      </c>
      <c r="BT12" s="48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486">
        <f>IF($B12="","",COUNTIF(BT12:CX12,"✓"))</f>
        <v/>
      </c>
      <c r="CZ12" s="487">
        <f>IF($B12="","",COUNTIF(BT12:CX12,"✗"))</f>
        <v/>
      </c>
      <c r="DA12" s="488">
        <f>IF($B12="","",IFERROR(ROUND(COUNTIF(BT12:CX12,"✓")/(COUNTIF(BT12:CX12,"✓")+COUNTIF(BT12:CX12,"✗"))*100,0),""))</f>
        <v/>
      </c>
      <c r="DB12" s="48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486">
        <f>IF($B12="","",COUNTIF(DB12:EF12,"✓"))</f>
        <v/>
      </c>
      <c r="EH12" s="487">
        <f>IF($B12="","",COUNTIF(DB12:EF12,"✗"))</f>
        <v/>
      </c>
      <c r="EI12" s="488">
        <f>IF($B12="","",IFERROR(ROUND(COUNTIF(DB12:EF12,"✓")/(COUNTIF(DB12:EF12,"✓")+COUNTIF(DB12:EF12,"✗"))*100,0),""))</f>
        <v/>
      </c>
      <c r="EJ12" s="48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486">
        <f>IF($B12="","",COUNTIF(EJ12:FN12,"✓"))</f>
        <v/>
      </c>
      <c r="FP12" s="487">
        <f>IF($B12="","",COUNTIF(EJ12:FN12,"✗"))</f>
        <v/>
      </c>
      <c r="FQ12" s="488">
        <f>IF($B12="","",IFERROR(ROUND(COUNTIF(EJ12:FN12,"✓")/(COUNTIF(EJ12:FN12,"✓")+COUNTIF(EJ12:FN12,"✗"))*100,0),""))</f>
        <v/>
      </c>
    </row>
    <row r="13">
      <c r="A13" s="218" t="n">
        <v>5</v>
      </c>
      <c r="B13" s="219">
        <f>'ข้อมูลนักเรียน'!T13</f>
        <v/>
      </c>
      <c r="C13" s="484">
        <f>IF(B13="","",IFERROR(COUNTIF(D13:FQ13,"✓")/(COUNTIF(D13:FQ13,"✓")+COUNTIF(D13:FQ13,"✗")),""))</f>
        <v/>
      </c>
      <c r="D13" s="48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486">
        <f>IF($B13="","",COUNTIF(D13:AH13,"✓"))</f>
        <v/>
      </c>
      <c r="AJ13" s="487">
        <f>IF($B13="","",COUNTIF(D13:AH13,"✗"))</f>
        <v/>
      </c>
      <c r="AK13" s="488">
        <f>IF($B13="","",IFERROR(ROUND(COUNTIF(D13:AH13,"✓")/(COUNTIF(D13:AH13,"✓")+COUNTIF(D13:AH13,"✗"))*100,0),""))</f>
        <v/>
      </c>
      <c r="AL13" s="48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486">
        <f>IF($B13="","",COUNTIF(AL13:BP13,"✓"))</f>
        <v/>
      </c>
      <c r="BR13" s="487">
        <f>IF($B13="","",COUNTIF(AL13:BP13,"✗"))</f>
        <v/>
      </c>
      <c r="BS13" s="488">
        <f>IF($B13="","",IFERROR(ROUND(COUNTIF(AL13:BP13,"✓")/(COUNTIF(AL13:BP13,"✓")+COUNTIF(AL13:BP13,"✗"))*100,0),""))</f>
        <v/>
      </c>
      <c r="BT13" s="48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486">
        <f>IF($B13="","",COUNTIF(BT13:CX13,"✓"))</f>
        <v/>
      </c>
      <c r="CZ13" s="487">
        <f>IF($B13="","",COUNTIF(BT13:CX13,"✗"))</f>
        <v/>
      </c>
      <c r="DA13" s="488">
        <f>IF($B13="","",IFERROR(ROUND(COUNTIF(BT13:CX13,"✓")/(COUNTIF(BT13:CX13,"✓")+COUNTIF(BT13:CX13,"✗"))*100,0),""))</f>
        <v/>
      </c>
      <c r="DB13" s="48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486">
        <f>IF($B13="","",COUNTIF(DB13:EF13,"✓"))</f>
        <v/>
      </c>
      <c r="EH13" s="487">
        <f>IF($B13="","",COUNTIF(DB13:EF13,"✗"))</f>
        <v/>
      </c>
      <c r="EI13" s="488">
        <f>IF($B13="","",IFERROR(ROUND(COUNTIF(DB13:EF13,"✓")/(COUNTIF(DB13:EF13,"✓")+COUNTIF(DB13:EF13,"✗"))*100,0),""))</f>
        <v/>
      </c>
      <c r="EJ13" s="48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486">
        <f>IF($B13="","",COUNTIF(EJ13:FN13,"✓"))</f>
        <v/>
      </c>
      <c r="FP13" s="487">
        <f>IF($B13="","",COUNTIF(EJ13:FN13,"✗"))</f>
        <v/>
      </c>
      <c r="FQ13" s="488">
        <f>IF($B13="","",IFERROR(ROUND(COUNTIF(EJ13:FN13,"✓")/(COUNTIF(EJ13:FN13,"✓")+COUNTIF(EJ13:FN13,"✗"))*100,0),""))</f>
        <v/>
      </c>
    </row>
    <row r="14">
      <c r="A14" s="489" t="inlineStr">
        <is>
          <t>แปรงฟัน (คน)</t>
        </is>
      </c>
      <c r="B14" s="184" t="n"/>
      <c r="C14" s="184" t="n"/>
      <c r="D14" s="490">
        <f>IF(D$4&lt;&gt;1,"",COUNTIF(D9:D13,"✓"))</f>
        <v/>
      </c>
      <c r="E14" s="491">
        <f>IF(E$4&lt;&gt;1,"",COUNTIF(E9:E13,"✓"))</f>
        <v/>
      </c>
      <c r="F14" s="491">
        <f>IF(F$4&lt;&gt;1,"",COUNTIF(F9:F13,"✓"))</f>
        <v/>
      </c>
      <c r="G14" s="491">
        <f>IF(G$4&lt;&gt;1,"",COUNTIF(G9:G13,"✓"))</f>
        <v/>
      </c>
      <c r="H14" s="491">
        <f>IF(H$4&lt;&gt;1,"",COUNTIF(H9:H13,"✓"))</f>
        <v/>
      </c>
      <c r="I14" s="491">
        <f>IF(I$4&lt;&gt;1,"",COUNTIF(I9:I13,"✓"))</f>
        <v/>
      </c>
      <c r="J14" s="491">
        <f>IF(J$4&lt;&gt;1,"",COUNTIF(J9:J13,"✓"))</f>
        <v/>
      </c>
      <c r="K14" s="491">
        <f>IF(K$4&lt;&gt;1,"",COUNTIF(K9:K13,"✓"))</f>
        <v/>
      </c>
      <c r="L14" s="491">
        <f>IF(L$4&lt;&gt;1,"",COUNTIF(L9:L13,"✓"))</f>
        <v/>
      </c>
      <c r="M14" s="491">
        <f>IF(M$4&lt;&gt;1,"",COUNTIF(M9:M13,"✓"))</f>
        <v/>
      </c>
      <c r="N14" s="491">
        <f>IF(N$4&lt;&gt;1,"",COUNTIF(N9:N13,"✓"))</f>
        <v/>
      </c>
      <c r="O14" s="491">
        <f>IF(O$4&lt;&gt;1,"",COUNTIF(O9:O13,"✓"))</f>
        <v/>
      </c>
      <c r="P14" s="491">
        <f>IF(P$4&lt;&gt;1,"",COUNTIF(P9:P13,"✓"))</f>
        <v/>
      </c>
      <c r="Q14" s="491">
        <f>IF(Q$4&lt;&gt;1,"",COUNTIF(Q9:Q13,"✓"))</f>
        <v/>
      </c>
      <c r="R14" s="491">
        <f>IF(R$4&lt;&gt;1,"",COUNTIF(R9:R13,"✓"))</f>
        <v/>
      </c>
      <c r="S14" s="491">
        <f>IF(S$4&lt;&gt;1,"",COUNTIF(S9:S13,"✓"))</f>
        <v/>
      </c>
      <c r="T14" s="491">
        <f>IF(T$4&lt;&gt;1,"",COUNTIF(T9:T13,"✓"))</f>
        <v/>
      </c>
      <c r="U14" s="491">
        <f>IF(U$4&lt;&gt;1,"",COUNTIF(U9:U13,"✓"))</f>
        <v/>
      </c>
      <c r="V14" s="491">
        <f>IF(V$4&lt;&gt;1,"",COUNTIF(V9:V13,"✓"))</f>
        <v/>
      </c>
      <c r="W14" s="491">
        <f>IF(W$4&lt;&gt;1,"",COUNTIF(W9:W13,"✓"))</f>
        <v/>
      </c>
      <c r="X14" s="491">
        <f>IF(X$4&lt;&gt;1,"",COUNTIF(X9:X13,"✓"))</f>
        <v/>
      </c>
      <c r="Y14" s="491">
        <f>IF(Y$4&lt;&gt;1,"",COUNTIF(Y9:Y13,"✓"))</f>
        <v/>
      </c>
      <c r="Z14" s="491">
        <f>IF(Z$4&lt;&gt;1,"",COUNTIF(Z9:Z13,"✓"))</f>
        <v/>
      </c>
      <c r="AA14" s="491">
        <f>IF(AA$4&lt;&gt;1,"",COUNTIF(AA9:AA13,"✓"))</f>
        <v/>
      </c>
      <c r="AB14" s="491">
        <f>IF(AB$4&lt;&gt;1,"",COUNTIF(AB9:AB13,"✓"))</f>
        <v/>
      </c>
      <c r="AC14" s="491">
        <f>IF(AC$4&lt;&gt;1,"",COUNTIF(AC9:AC13,"✓"))</f>
        <v/>
      </c>
      <c r="AD14" s="491">
        <f>IF(AD$4&lt;&gt;1,"",COUNTIF(AD9:AD13,"✓"))</f>
        <v/>
      </c>
      <c r="AE14" s="491">
        <f>IF(AE$4&lt;&gt;1,"",COUNTIF(AE9:AE13,"✓"))</f>
        <v/>
      </c>
      <c r="AF14" s="491">
        <f>IF(AF$4&lt;&gt;1,"",COUNTIF(AF9:AF13,"✓"))</f>
        <v/>
      </c>
      <c r="AG14" s="491">
        <f>IF(AG$4&lt;&gt;1,"",COUNTIF(AG9:AG13,"✓"))</f>
        <v/>
      </c>
      <c r="AH14" s="491">
        <f>IF(AH$4&lt;&gt;1,"",COUNTIF(AH9:AH13,"✓"))</f>
        <v/>
      </c>
      <c r="AI14" s="492">
        <f>SUM(AI9:AI13)</f>
        <v/>
      </c>
      <c r="AJ14" s="493">
        <f>SUM(AJ9:AJ13)</f>
        <v/>
      </c>
      <c r="AK14" s="494">
        <f>IFERROR(AVERAGE(AK9:AK13),"")</f>
        <v/>
      </c>
      <c r="AL14" s="490">
        <f>IF(AL$4&lt;&gt;1,"",COUNTIF(AL9:AL13,"✓"))</f>
        <v/>
      </c>
      <c r="AM14" s="491">
        <f>IF(AM$4&lt;&gt;1,"",COUNTIF(AM9:AM13,"✓"))</f>
        <v/>
      </c>
      <c r="AN14" s="491">
        <f>IF(AN$4&lt;&gt;1,"",COUNTIF(AN9:AN13,"✓"))</f>
        <v/>
      </c>
      <c r="AO14" s="491">
        <f>IF(AO$4&lt;&gt;1,"",COUNTIF(AO9:AO13,"✓"))</f>
        <v/>
      </c>
      <c r="AP14" s="491">
        <f>IF(AP$4&lt;&gt;1,"",COUNTIF(AP9:AP13,"✓"))</f>
        <v/>
      </c>
      <c r="AQ14" s="491">
        <f>IF(AQ$4&lt;&gt;1,"",COUNTIF(AQ9:AQ13,"✓"))</f>
        <v/>
      </c>
      <c r="AR14" s="491">
        <f>IF(AR$4&lt;&gt;1,"",COUNTIF(AR9:AR13,"✓"))</f>
        <v/>
      </c>
      <c r="AS14" s="491">
        <f>IF(AS$4&lt;&gt;1,"",COUNTIF(AS9:AS13,"✓"))</f>
        <v/>
      </c>
      <c r="AT14" s="491">
        <f>IF(AT$4&lt;&gt;1,"",COUNTIF(AT9:AT13,"✓"))</f>
        <v/>
      </c>
      <c r="AU14" s="491">
        <f>IF(AU$4&lt;&gt;1,"",COUNTIF(AU9:AU13,"✓"))</f>
        <v/>
      </c>
      <c r="AV14" s="491">
        <f>IF(AV$4&lt;&gt;1,"",COUNTIF(AV9:AV13,"✓"))</f>
        <v/>
      </c>
      <c r="AW14" s="491">
        <f>IF(AW$4&lt;&gt;1,"",COUNTIF(AW9:AW13,"✓"))</f>
        <v/>
      </c>
      <c r="AX14" s="491">
        <f>IF(AX$4&lt;&gt;1,"",COUNTIF(AX9:AX13,"✓"))</f>
        <v/>
      </c>
      <c r="AY14" s="491">
        <f>IF(AY$4&lt;&gt;1,"",COUNTIF(AY9:AY13,"✓"))</f>
        <v/>
      </c>
      <c r="AZ14" s="491">
        <f>IF(AZ$4&lt;&gt;1,"",COUNTIF(AZ9:AZ13,"✓"))</f>
        <v/>
      </c>
      <c r="BA14" s="491">
        <f>IF(BA$4&lt;&gt;1,"",COUNTIF(BA9:BA13,"✓"))</f>
        <v/>
      </c>
      <c r="BB14" s="491">
        <f>IF(BB$4&lt;&gt;1,"",COUNTIF(BB9:BB13,"✓"))</f>
        <v/>
      </c>
      <c r="BC14" s="491">
        <f>IF(BC$4&lt;&gt;1,"",COUNTIF(BC9:BC13,"✓"))</f>
        <v/>
      </c>
      <c r="BD14" s="491">
        <f>IF(BD$4&lt;&gt;1,"",COUNTIF(BD9:BD13,"✓"))</f>
        <v/>
      </c>
      <c r="BE14" s="491">
        <f>IF(BE$4&lt;&gt;1,"",COUNTIF(BE9:BE13,"✓"))</f>
        <v/>
      </c>
      <c r="BF14" s="491">
        <f>IF(BF$4&lt;&gt;1,"",COUNTIF(BF9:BF13,"✓"))</f>
        <v/>
      </c>
      <c r="BG14" s="491">
        <f>IF(BG$4&lt;&gt;1,"",COUNTIF(BG9:BG13,"✓"))</f>
        <v/>
      </c>
      <c r="BH14" s="491">
        <f>IF(BH$4&lt;&gt;1,"",COUNTIF(BH9:BH13,"✓"))</f>
        <v/>
      </c>
      <c r="BI14" s="491">
        <f>IF(BI$4&lt;&gt;1,"",COUNTIF(BI9:BI13,"✓"))</f>
        <v/>
      </c>
      <c r="BJ14" s="491">
        <f>IF(BJ$4&lt;&gt;1,"",COUNTIF(BJ9:BJ13,"✓"))</f>
        <v/>
      </c>
      <c r="BK14" s="491">
        <f>IF(BK$4&lt;&gt;1,"",COUNTIF(BK9:BK13,"✓"))</f>
        <v/>
      </c>
      <c r="BL14" s="491">
        <f>IF(BL$4&lt;&gt;1,"",COUNTIF(BL9:BL13,"✓"))</f>
        <v/>
      </c>
      <c r="BM14" s="491">
        <f>IF(BM$4&lt;&gt;1,"",COUNTIF(BM9:BM13,"✓"))</f>
        <v/>
      </c>
      <c r="BN14" s="491">
        <f>IF(BN$4&lt;&gt;1,"",COUNTIF(BN9:BN13,"✓"))</f>
        <v/>
      </c>
      <c r="BO14" s="491">
        <f>IF(BO$4&lt;&gt;1,"",COUNTIF(BO9:BO13,"✓"))</f>
        <v/>
      </c>
      <c r="BP14" s="491">
        <f>IF(BP$4&lt;&gt;1,"",COUNTIF(BP9:BP13,"✓"))</f>
        <v/>
      </c>
      <c r="BQ14" s="492">
        <f>SUM(BQ9:BQ13)</f>
        <v/>
      </c>
      <c r="BR14" s="493">
        <f>SUM(BR9:BR13)</f>
        <v/>
      </c>
      <c r="BS14" s="494">
        <f>IFERROR(AVERAGE(BS9:BS13),"")</f>
        <v/>
      </c>
      <c r="BT14" s="490">
        <f>IF(BT$4&lt;&gt;1,"",COUNTIF(BT9:BT13,"✓"))</f>
        <v/>
      </c>
      <c r="BU14" s="491">
        <f>IF(BU$4&lt;&gt;1,"",COUNTIF(BU9:BU13,"✓"))</f>
        <v/>
      </c>
      <c r="BV14" s="491">
        <f>IF(BV$4&lt;&gt;1,"",COUNTIF(BV9:BV13,"✓"))</f>
        <v/>
      </c>
      <c r="BW14" s="491">
        <f>IF(BW$4&lt;&gt;1,"",COUNTIF(BW9:BW13,"✓"))</f>
        <v/>
      </c>
      <c r="BX14" s="491">
        <f>IF(BX$4&lt;&gt;1,"",COUNTIF(BX9:BX13,"✓"))</f>
        <v/>
      </c>
      <c r="BY14" s="491">
        <f>IF(BY$4&lt;&gt;1,"",COUNTIF(BY9:BY13,"✓"))</f>
        <v/>
      </c>
      <c r="BZ14" s="491">
        <f>IF(BZ$4&lt;&gt;1,"",COUNTIF(BZ9:BZ13,"✓"))</f>
        <v/>
      </c>
      <c r="CA14" s="491">
        <f>IF(CA$4&lt;&gt;1,"",COUNTIF(CA9:CA13,"✓"))</f>
        <v/>
      </c>
      <c r="CB14" s="491">
        <f>IF(CB$4&lt;&gt;1,"",COUNTIF(CB9:CB13,"✓"))</f>
        <v/>
      </c>
      <c r="CC14" s="491">
        <f>IF(CC$4&lt;&gt;1,"",COUNTIF(CC9:CC13,"✓"))</f>
        <v/>
      </c>
      <c r="CD14" s="491">
        <f>IF(CD$4&lt;&gt;1,"",COUNTIF(CD9:CD13,"✓"))</f>
        <v/>
      </c>
      <c r="CE14" s="491">
        <f>IF(CE$4&lt;&gt;1,"",COUNTIF(CE9:CE13,"✓"))</f>
        <v/>
      </c>
      <c r="CF14" s="491">
        <f>IF(CF$4&lt;&gt;1,"",COUNTIF(CF9:CF13,"✓"))</f>
        <v/>
      </c>
      <c r="CG14" s="491">
        <f>IF(CG$4&lt;&gt;1,"",COUNTIF(CG9:CG13,"✓"))</f>
        <v/>
      </c>
      <c r="CH14" s="491">
        <f>IF(CH$4&lt;&gt;1,"",COUNTIF(CH9:CH13,"✓"))</f>
        <v/>
      </c>
      <c r="CI14" s="491">
        <f>IF(CI$4&lt;&gt;1,"",COUNTIF(CI9:CI13,"✓"))</f>
        <v/>
      </c>
      <c r="CJ14" s="491">
        <f>IF(CJ$4&lt;&gt;1,"",COUNTIF(CJ9:CJ13,"✓"))</f>
        <v/>
      </c>
      <c r="CK14" s="491">
        <f>IF(CK$4&lt;&gt;1,"",COUNTIF(CK9:CK13,"✓"))</f>
        <v/>
      </c>
      <c r="CL14" s="491">
        <f>IF(CL$4&lt;&gt;1,"",COUNTIF(CL9:CL13,"✓"))</f>
        <v/>
      </c>
      <c r="CM14" s="491">
        <f>IF(CM$4&lt;&gt;1,"",COUNTIF(CM9:CM13,"✓"))</f>
        <v/>
      </c>
      <c r="CN14" s="491">
        <f>IF(CN$4&lt;&gt;1,"",COUNTIF(CN9:CN13,"✓"))</f>
        <v/>
      </c>
      <c r="CO14" s="491">
        <f>IF(CO$4&lt;&gt;1,"",COUNTIF(CO9:CO13,"✓"))</f>
        <v/>
      </c>
      <c r="CP14" s="491">
        <f>IF(CP$4&lt;&gt;1,"",COUNTIF(CP9:CP13,"✓"))</f>
        <v/>
      </c>
      <c r="CQ14" s="491">
        <f>IF(CQ$4&lt;&gt;1,"",COUNTIF(CQ9:CQ13,"✓"))</f>
        <v/>
      </c>
      <c r="CR14" s="491">
        <f>IF(CR$4&lt;&gt;1,"",COUNTIF(CR9:CR13,"✓"))</f>
        <v/>
      </c>
      <c r="CS14" s="491">
        <f>IF(CS$4&lt;&gt;1,"",COUNTIF(CS9:CS13,"✓"))</f>
        <v/>
      </c>
      <c r="CT14" s="491">
        <f>IF(CT$4&lt;&gt;1,"",COUNTIF(CT9:CT13,"✓"))</f>
        <v/>
      </c>
      <c r="CU14" s="491">
        <f>IF(CU$4&lt;&gt;1,"",COUNTIF(CU9:CU13,"✓"))</f>
        <v/>
      </c>
      <c r="CV14" s="491">
        <f>IF(CV$4&lt;&gt;1,"",COUNTIF(CV9:CV13,"✓"))</f>
        <v/>
      </c>
      <c r="CW14" s="491">
        <f>IF(CW$4&lt;&gt;1,"",COUNTIF(CW9:CW13,"✓"))</f>
        <v/>
      </c>
      <c r="CX14" s="491">
        <f>IF(CX$4&lt;&gt;1,"",COUNTIF(CX9:CX13,"✓"))</f>
        <v/>
      </c>
      <c r="CY14" s="492">
        <f>SUM(CY9:CY13)</f>
        <v/>
      </c>
      <c r="CZ14" s="493">
        <f>SUM(CZ9:CZ13)</f>
        <v/>
      </c>
      <c r="DA14" s="494">
        <f>IFERROR(AVERAGE(DA9:DA13),"")</f>
        <v/>
      </c>
      <c r="DB14" s="490">
        <f>IF(DB$4&lt;&gt;1,"",COUNTIF(DB9:DB13,"✓"))</f>
        <v/>
      </c>
      <c r="DC14" s="491">
        <f>IF(DC$4&lt;&gt;1,"",COUNTIF(DC9:DC13,"✓"))</f>
        <v/>
      </c>
      <c r="DD14" s="491">
        <f>IF(DD$4&lt;&gt;1,"",COUNTIF(DD9:DD13,"✓"))</f>
        <v/>
      </c>
      <c r="DE14" s="491">
        <f>IF(DE$4&lt;&gt;1,"",COUNTIF(DE9:DE13,"✓"))</f>
        <v/>
      </c>
      <c r="DF14" s="491">
        <f>IF(DF$4&lt;&gt;1,"",COUNTIF(DF9:DF13,"✓"))</f>
        <v/>
      </c>
      <c r="DG14" s="491">
        <f>IF(DG$4&lt;&gt;1,"",COUNTIF(DG9:DG13,"✓"))</f>
        <v/>
      </c>
      <c r="DH14" s="491">
        <f>IF(DH$4&lt;&gt;1,"",COUNTIF(DH9:DH13,"✓"))</f>
        <v/>
      </c>
      <c r="DI14" s="491">
        <f>IF(DI$4&lt;&gt;1,"",COUNTIF(DI9:DI13,"✓"))</f>
        <v/>
      </c>
      <c r="DJ14" s="491">
        <f>IF(DJ$4&lt;&gt;1,"",COUNTIF(DJ9:DJ13,"✓"))</f>
        <v/>
      </c>
      <c r="DK14" s="491">
        <f>IF(DK$4&lt;&gt;1,"",COUNTIF(DK9:DK13,"✓"))</f>
        <v/>
      </c>
      <c r="DL14" s="491">
        <f>IF(DL$4&lt;&gt;1,"",COUNTIF(DL9:DL13,"✓"))</f>
        <v/>
      </c>
      <c r="DM14" s="491">
        <f>IF(DM$4&lt;&gt;1,"",COUNTIF(DM9:DM13,"✓"))</f>
        <v/>
      </c>
      <c r="DN14" s="491">
        <f>IF(DN$4&lt;&gt;1,"",COUNTIF(DN9:DN13,"✓"))</f>
        <v/>
      </c>
      <c r="DO14" s="491">
        <f>IF(DO$4&lt;&gt;1,"",COUNTIF(DO9:DO13,"✓"))</f>
        <v/>
      </c>
      <c r="DP14" s="491">
        <f>IF(DP$4&lt;&gt;1,"",COUNTIF(DP9:DP13,"✓"))</f>
        <v/>
      </c>
      <c r="DQ14" s="491">
        <f>IF(DQ$4&lt;&gt;1,"",COUNTIF(DQ9:DQ13,"✓"))</f>
        <v/>
      </c>
      <c r="DR14" s="491">
        <f>IF(DR$4&lt;&gt;1,"",COUNTIF(DR9:DR13,"✓"))</f>
        <v/>
      </c>
      <c r="DS14" s="491">
        <f>IF(DS$4&lt;&gt;1,"",COUNTIF(DS9:DS13,"✓"))</f>
        <v/>
      </c>
      <c r="DT14" s="491">
        <f>IF(DT$4&lt;&gt;1,"",COUNTIF(DT9:DT13,"✓"))</f>
        <v/>
      </c>
      <c r="DU14" s="491">
        <f>IF(DU$4&lt;&gt;1,"",COUNTIF(DU9:DU13,"✓"))</f>
        <v/>
      </c>
      <c r="DV14" s="491">
        <f>IF(DV$4&lt;&gt;1,"",COUNTIF(DV9:DV13,"✓"))</f>
        <v/>
      </c>
      <c r="DW14" s="491">
        <f>IF(DW$4&lt;&gt;1,"",COUNTIF(DW9:DW13,"✓"))</f>
        <v/>
      </c>
      <c r="DX14" s="491">
        <f>IF(DX$4&lt;&gt;1,"",COUNTIF(DX9:DX13,"✓"))</f>
        <v/>
      </c>
      <c r="DY14" s="491">
        <f>IF(DY$4&lt;&gt;1,"",COUNTIF(DY9:DY13,"✓"))</f>
        <v/>
      </c>
      <c r="DZ14" s="491">
        <f>IF(DZ$4&lt;&gt;1,"",COUNTIF(DZ9:DZ13,"✓"))</f>
        <v/>
      </c>
      <c r="EA14" s="491">
        <f>IF(EA$4&lt;&gt;1,"",COUNTIF(EA9:EA13,"✓"))</f>
        <v/>
      </c>
      <c r="EB14" s="491">
        <f>IF(EB$4&lt;&gt;1,"",COUNTIF(EB9:EB13,"✓"))</f>
        <v/>
      </c>
      <c r="EC14" s="491">
        <f>IF(EC$4&lt;&gt;1,"",COUNTIF(EC9:EC13,"✓"))</f>
        <v/>
      </c>
      <c r="ED14" s="491">
        <f>IF(ED$4&lt;&gt;1,"",COUNTIF(ED9:ED13,"✓"))</f>
        <v/>
      </c>
      <c r="EE14" s="491">
        <f>IF(EE$4&lt;&gt;1,"",COUNTIF(EE9:EE13,"✓"))</f>
        <v/>
      </c>
      <c r="EF14" s="491">
        <f>IF(EF$4&lt;&gt;1,"",COUNTIF(EF9:EF13,"✓"))</f>
        <v/>
      </c>
      <c r="EG14" s="492">
        <f>SUM(EG9:EG13)</f>
        <v/>
      </c>
      <c r="EH14" s="493">
        <f>SUM(EH9:EH13)</f>
        <v/>
      </c>
      <c r="EI14" s="494">
        <f>IFERROR(AVERAGE(EI9:EI13),"")</f>
        <v/>
      </c>
      <c r="EJ14" s="490">
        <f>IF(EJ$4&lt;&gt;1,"",COUNTIF(EJ9:EJ13,"✓"))</f>
        <v/>
      </c>
      <c r="EK14" s="491">
        <f>IF(EK$4&lt;&gt;1,"",COUNTIF(EK9:EK13,"✓"))</f>
        <v/>
      </c>
      <c r="EL14" s="491">
        <f>IF(EL$4&lt;&gt;1,"",COUNTIF(EL9:EL13,"✓"))</f>
        <v/>
      </c>
      <c r="EM14" s="491">
        <f>IF(EM$4&lt;&gt;1,"",COUNTIF(EM9:EM13,"✓"))</f>
        <v/>
      </c>
      <c r="EN14" s="491">
        <f>IF(EN$4&lt;&gt;1,"",COUNTIF(EN9:EN13,"✓"))</f>
        <v/>
      </c>
      <c r="EO14" s="491">
        <f>IF(EO$4&lt;&gt;1,"",COUNTIF(EO9:EO13,"✓"))</f>
        <v/>
      </c>
      <c r="EP14" s="491">
        <f>IF(EP$4&lt;&gt;1,"",COUNTIF(EP9:EP13,"✓"))</f>
        <v/>
      </c>
      <c r="EQ14" s="491">
        <f>IF(EQ$4&lt;&gt;1,"",COUNTIF(EQ9:EQ13,"✓"))</f>
        <v/>
      </c>
      <c r="ER14" s="491">
        <f>IF(ER$4&lt;&gt;1,"",COUNTIF(ER9:ER13,"✓"))</f>
        <v/>
      </c>
      <c r="ES14" s="491">
        <f>IF(ES$4&lt;&gt;1,"",COUNTIF(ES9:ES13,"✓"))</f>
        <v/>
      </c>
      <c r="ET14" s="491">
        <f>IF(ET$4&lt;&gt;1,"",COUNTIF(ET9:ET13,"✓"))</f>
        <v/>
      </c>
      <c r="EU14" s="491">
        <f>IF(EU$4&lt;&gt;1,"",COUNTIF(EU9:EU13,"✓"))</f>
        <v/>
      </c>
      <c r="EV14" s="491">
        <f>IF(EV$4&lt;&gt;1,"",COUNTIF(EV9:EV13,"✓"))</f>
        <v/>
      </c>
      <c r="EW14" s="491">
        <f>IF(EW$4&lt;&gt;1,"",COUNTIF(EW9:EW13,"✓"))</f>
        <v/>
      </c>
      <c r="EX14" s="491">
        <f>IF(EX$4&lt;&gt;1,"",COUNTIF(EX9:EX13,"✓"))</f>
        <v/>
      </c>
      <c r="EY14" s="491">
        <f>IF(EY$4&lt;&gt;1,"",COUNTIF(EY9:EY13,"✓"))</f>
        <v/>
      </c>
      <c r="EZ14" s="491">
        <f>IF(EZ$4&lt;&gt;1,"",COUNTIF(EZ9:EZ13,"✓"))</f>
        <v/>
      </c>
      <c r="FA14" s="491">
        <f>IF(FA$4&lt;&gt;1,"",COUNTIF(FA9:FA13,"✓"))</f>
        <v/>
      </c>
      <c r="FB14" s="491">
        <f>IF(FB$4&lt;&gt;1,"",COUNTIF(FB9:FB13,"✓"))</f>
        <v/>
      </c>
      <c r="FC14" s="491">
        <f>IF(FC$4&lt;&gt;1,"",COUNTIF(FC9:FC13,"✓"))</f>
        <v/>
      </c>
      <c r="FD14" s="491">
        <f>IF(FD$4&lt;&gt;1,"",COUNTIF(FD9:FD13,"✓"))</f>
        <v/>
      </c>
      <c r="FE14" s="491">
        <f>IF(FE$4&lt;&gt;1,"",COUNTIF(FE9:FE13,"✓"))</f>
        <v/>
      </c>
      <c r="FF14" s="491">
        <f>IF(FF$4&lt;&gt;1,"",COUNTIF(FF9:FF13,"✓"))</f>
        <v/>
      </c>
      <c r="FG14" s="491">
        <f>IF(FG$4&lt;&gt;1,"",COUNTIF(FG9:FG13,"✓"))</f>
        <v/>
      </c>
      <c r="FH14" s="491">
        <f>IF(FH$4&lt;&gt;1,"",COUNTIF(FH9:FH13,"✓"))</f>
        <v/>
      </c>
      <c r="FI14" s="491">
        <f>IF(FI$4&lt;&gt;1,"",COUNTIF(FI9:FI13,"✓"))</f>
        <v/>
      </c>
      <c r="FJ14" s="491">
        <f>IF(FJ$4&lt;&gt;1,"",COUNTIF(FJ9:FJ13,"✓"))</f>
        <v/>
      </c>
      <c r="FK14" s="491">
        <f>IF(FK$4&lt;&gt;1,"",COUNTIF(FK9:FK13,"✓"))</f>
        <v/>
      </c>
      <c r="FL14" s="491">
        <f>IF(FL$4&lt;&gt;1,"",COUNTIF(FL9:FL13,"✓"))</f>
        <v/>
      </c>
      <c r="FM14" s="491">
        <f>IF(FM$4&lt;&gt;1,"",COUNTIF(FM9:FM13,"✓"))</f>
        <v/>
      </c>
      <c r="FN14" s="491">
        <f>IF(FN$4&lt;&gt;1,"",COUNTIF(FN9:FN13,"✓"))</f>
        <v/>
      </c>
      <c r="FO14" s="492">
        <f>SUM(FO9:FO13)</f>
        <v/>
      </c>
      <c r="FP14" s="493">
        <f>SUM(FP9:FP13)</f>
        <v/>
      </c>
      <c r="FQ14" s="494">
        <f>IFERROR(AVERAGE(FQ9:FQ13),"")</f>
        <v/>
      </c>
    </row>
    <row r="15">
      <c r="A15" s="489" t="inlineStr">
        <is>
          <t>ไม่แปรง (คน)</t>
        </is>
      </c>
      <c r="B15" s="184" t="n"/>
      <c r="C15" s="184" t="n"/>
      <c r="D15" s="490">
        <f>IF(D$4&lt;&gt;1,"",COUNTIF(D9:D13,"✗"))</f>
        <v/>
      </c>
      <c r="E15" s="491">
        <f>IF(E$4&lt;&gt;1,"",COUNTIF(E9:E13,"✗"))</f>
        <v/>
      </c>
      <c r="F15" s="491">
        <f>IF(F$4&lt;&gt;1,"",COUNTIF(F9:F13,"✗"))</f>
        <v/>
      </c>
      <c r="G15" s="491">
        <f>IF(G$4&lt;&gt;1,"",COUNTIF(G9:G13,"✗"))</f>
        <v/>
      </c>
      <c r="H15" s="491">
        <f>IF(H$4&lt;&gt;1,"",COUNTIF(H9:H13,"✗"))</f>
        <v/>
      </c>
      <c r="I15" s="491">
        <f>IF(I$4&lt;&gt;1,"",COUNTIF(I9:I13,"✗"))</f>
        <v/>
      </c>
      <c r="J15" s="491">
        <f>IF(J$4&lt;&gt;1,"",COUNTIF(J9:J13,"✗"))</f>
        <v/>
      </c>
      <c r="K15" s="491">
        <f>IF(K$4&lt;&gt;1,"",COUNTIF(K9:K13,"✗"))</f>
        <v/>
      </c>
      <c r="L15" s="491">
        <f>IF(L$4&lt;&gt;1,"",COUNTIF(L9:L13,"✗"))</f>
        <v/>
      </c>
      <c r="M15" s="491">
        <f>IF(M$4&lt;&gt;1,"",COUNTIF(M9:M13,"✗"))</f>
        <v/>
      </c>
      <c r="N15" s="491">
        <f>IF(N$4&lt;&gt;1,"",COUNTIF(N9:N13,"✗"))</f>
        <v/>
      </c>
      <c r="O15" s="491">
        <f>IF(O$4&lt;&gt;1,"",COUNTIF(O9:O13,"✗"))</f>
        <v/>
      </c>
      <c r="P15" s="491">
        <f>IF(P$4&lt;&gt;1,"",COUNTIF(P9:P13,"✗"))</f>
        <v/>
      </c>
      <c r="Q15" s="491">
        <f>IF(Q$4&lt;&gt;1,"",COUNTIF(Q9:Q13,"✗"))</f>
        <v/>
      </c>
      <c r="R15" s="491">
        <f>IF(R$4&lt;&gt;1,"",COUNTIF(R9:R13,"✗"))</f>
        <v/>
      </c>
      <c r="S15" s="491">
        <f>IF(S$4&lt;&gt;1,"",COUNTIF(S9:S13,"✗"))</f>
        <v/>
      </c>
      <c r="T15" s="491">
        <f>IF(T$4&lt;&gt;1,"",COUNTIF(T9:T13,"✗"))</f>
        <v/>
      </c>
      <c r="U15" s="491">
        <f>IF(U$4&lt;&gt;1,"",COUNTIF(U9:U13,"✗"))</f>
        <v/>
      </c>
      <c r="V15" s="491">
        <f>IF(V$4&lt;&gt;1,"",COUNTIF(V9:V13,"✗"))</f>
        <v/>
      </c>
      <c r="W15" s="491">
        <f>IF(W$4&lt;&gt;1,"",COUNTIF(W9:W13,"✗"))</f>
        <v/>
      </c>
      <c r="X15" s="491">
        <f>IF(X$4&lt;&gt;1,"",COUNTIF(X9:X13,"✗"))</f>
        <v/>
      </c>
      <c r="Y15" s="491">
        <f>IF(Y$4&lt;&gt;1,"",COUNTIF(Y9:Y13,"✗"))</f>
        <v/>
      </c>
      <c r="Z15" s="491">
        <f>IF(Z$4&lt;&gt;1,"",COUNTIF(Z9:Z13,"✗"))</f>
        <v/>
      </c>
      <c r="AA15" s="491">
        <f>IF(AA$4&lt;&gt;1,"",COUNTIF(AA9:AA13,"✗"))</f>
        <v/>
      </c>
      <c r="AB15" s="491">
        <f>IF(AB$4&lt;&gt;1,"",COUNTIF(AB9:AB13,"✗"))</f>
        <v/>
      </c>
      <c r="AC15" s="491">
        <f>IF(AC$4&lt;&gt;1,"",COUNTIF(AC9:AC13,"✗"))</f>
        <v/>
      </c>
      <c r="AD15" s="491">
        <f>IF(AD$4&lt;&gt;1,"",COUNTIF(AD9:AD13,"✗"))</f>
        <v/>
      </c>
      <c r="AE15" s="491">
        <f>IF(AE$4&lt;&gt;1,"",COUNTIF(AE9:AE13,"✗"))</f>
        <v/>
      </c>
      <c r="AF15" s="491">
        <f>IF(AF$4&lt;&gt;1,"",COUNTIF(AF9:AF13,"✗"))</f>
        <v/>
      </c>
      <c r="AG15" s="491">
        <f>IF(AG$4&lt;&gt;1,"",COUNTIF(AG9:AG13,"✗"))</f>
        <v/>
      </c>
      <c r="AH15" s="491">
        <f>IF(AH$4&lt;&gt;1,"",COUNTIF(AH9:AH13,"✗"))</f>
        <v/>
      </c>
      <c r="AI15" s="492" t="n"/>
      <c r="AJ15" s="493" t="n"/>
      <c r="AK15" s="494" t="n"/>
      <c r="AL15" s="490">
        <f>IF(AL$4&lt;&gt;1,"",COUNTIF(AL9:AL13,"✗"))</f>
        <v/>
      </c>
      <c r="AM15" s="491">
        <f>IF(AM$4&lt;&gt;1,"",COUNTIF(AM9:AM13,"✗"))</f>
        <v/>
      </c>
      <c r="AN15" s="491">
        <f>IF(AN$4&lt;&gt;1,"",COUNTIF(AN9:AN13,"✗"))</f>
        <v/>
      </c>
      <c r="AO15" s="491">
        <f>IF(AO$4&lt;&gt;1,"",COUNTIF(AO9:AO13,"✗"))</f>
        <v/>
      </c>
      <c r="AP15" s="491">
        <f>IF(AP$4&lt;&gt;1,"",COUNTIF(AP9:AP13,"✗"))</f>
        <v/>
      </c>
      <c r="AQ15" s="491">
        <f>IF(AQ$4&lt;&gt;1,"",COUNTIF(AQ9:AQ13,"✗"))</f>
        <v/>
      </c>
      <c r="AR15" s="491">
        <f>IF(AR$4&lt;&gt;1,"",COUNTIF(AR9:AR13,"✗"))</f>
        <v/>
      </c>
      <c r="AS15" s="491">
        <f>IF(AS$4&lt;&gt;1,"",COUNTIF(AS9:AS13,"✗"))</f>
        <v/>
      </c>
      <c r="AT15" s="491">
        <f>IF(AT$4&lt;&gt;1,"",COUNTIF(AT9:AT13,"✗"))</f>
        <v/>
      </c>
      <c r="AU15" s="491">
        <f>IF(AU$4&lt;&gt;1,"",COUNTIF(AU9:AU13,"✗"))</f>
        <v/>
      </c>
      <c r="AV15" s="491">
        <f>IF(AV$4&lt;&gt;1,"",COUNTIF(AV9:AV13,"✗"))</f>
        <v/>
      </c>
      <c r="AW15" s="491">
        <f>IF(AW$4&lt;&gt;1,"",COUNTIF(AW9:AW13,"✗"))</f>
        <v/>
      </c>
      <c r="AX15" s="491">
        <f>IF(AX$4&lt;&gt;1,"",COUNTIF(AX9:AX13,"✗"))</f>
        <v/>
      </c>
      <c r="AY15" s="491">
        <f>IF(AY$4&lt;&gt;1,"",COUNTIF(AY9:AY13,"✗"))</f>
        <v/>
      </c>
      <c r="AZ15" s="491">
        <f>IF(AZ$4&lt;&gt;1,"",COUNTIF(AZ9:AZ13,"✗"))</f>
        <v/>
      </c>
      <c r="BA15" s="491">
        <f>IF(BA$4&lt;&gt;1,"",COUNTIF(BA9:BA13,"✗"))</f>
        <v/>
      </c>
      <c r="BB15" s="491">
        <f>IF(BB$4&lt;&gt;1,"",COUNTIF(BB9:BB13,"✗"))</f>
        <v/>
      </c>
      <c r="BC15" s="491">
        <f>IF(BC$4&lt;&gt;1,"",COUNTIF(BC9:BC13,"✗"))</f>
        <v/>
      </c>
      <c r="BD15" s="491">
        <f>IF(BD$4&lt;&gt;1,"",COUNTIF(BD9:BD13,"✗"))</f>
        <v/>
      </c>
      <c r="BE15" s="491">
        <f>IF(BE$4&lt;&gt;1,"",COUNTIF(BE9:BE13,"✗"))</f>
        <v/>
      </c>
      <c r="BF15" s="491">
        <f>IF(BF$4&lt;&gt;1,"",COUNTIF(BF9:BF13,"✗"))</f>
        <v/>
      </c>
      <c r="BG15" s="491">
        <f>IF(BG$4&lt;&gt;1,"",COUNTIF(BG9:BG13,"✗"))</f>
        <v/>
      </c>
      <c r="BH15" s="491">
        <f>IF(BH$4&lt;&gt;1,"",COUNTIF(BH9:BH13,"✗"))</f>
        <v/>
      </c>
      <c r="BI15" s="491">
        <f>IF(BI$4&lt;&gt;1,"",COUNTIF(BI9:BI13,"✗"))</f>
        <v/>
      </c>
      <c r="BJ15" s="491">
        <f>IF(BJ$4&lt;&gt;1,"",COUNTIF(BJ9:BJ13,"✗"))</f>
        <v/>
      </c>
      <c r="BK15" s="491">
        <f>IF(BK$4&lt;&gt;1,"",COUNTIF(BK9:BK13,"✗"))</f>
        <v/>
      </c>
      <c r="BL15" s="491">
        <f>IF(BL$4&lt;&gt;1,"",COUNTIF(BL9:BL13,"✗"))</f>
        <v/>
      </c>
      <c r="BM15" s="491">
        <f>IF(BM$4&lt;&gt;1,"",COUNTIF(BM9:BM13,"✗"))</f>
        <v/>
      </c>
      <c r="BN15" s="491">
        <f>IF(BN$4&lt;&gt;1,"",COUNTIF(BN9:BN13,"✗"))</f>
        <v/>
      </c>
      <c r="BO15" s="491">
        <f>IF(BO$4&lt;&gt;1,"",COUNTIF(BO9:BO13,"✗"))</f>
        <v/>
      </c>
      <c r="BP15" s="491">
        <f>IF(BP$4&lt;&gt;1,"",COUNTIF(BP9:BP13,"✗"))</f>
        <v/>
      </c>
      <c r="BQ15" s="492" t="n"/>
      <c r="BR15" s="493" t="n"/>
      <c r="BS15" s="494" t="n"/>
      <c r="BT15" s="490">
        <f>IF(BT$4&lt;&gt;1,"",COUNTIF(BT9:BT13,"✗"))</f>
        <v/>
      </c>
      <c r="BU15" s="491">
        <f>IF(BU$4&lt;&gt;1,"",COUNTIF(BU9:BU13,"✗"))</f>
        <v/>
      </c>
      <c r="BV15" s="491">
        <f>IF(BV$4&lt;&gt;1,"",COUNTIF(BV9:BV13,"✗"))</f>
        <v/>
      </c>
      <c r="BW15" s="491">
        <f>IF(BW$4&lt;&gt;1,"",COUNTIF(BW9:BW13,"✗"))</f>
        <v/>
      </c>
      <c r="BX15" s="491">
        <f>IF(BX$4&lt;&gt;1,"",COUNTIF(BX9:BX13,"✗"))</f>
        <v/>
      </c>
      <c r="BY15" s="491">
        <f>IF(BY$4&lt;&gt;1,"",COUNTIF(BY9:BY13,"✗"))</f>
        <v/>
      </c>
      <c r="BZ15" s="491">
        <f>IF(BZ$4&lt;&gt;1,"",COUNTIF(BZ9:BZ13,"✗"))</f>
        <v/>
      </c>
      <c r="CA15" s="491">
        <f>IF(CA$4&lt;&gt;1,"",COUNTIF(CA9:CA13,"✗"))</f>
        <v/>
      </c>
      <c r="CB15" s="491">
        <f>IF(CB$4&lt;&gt;1,"",COUNTIF(CB9:CB13,"✗"))</f>
        <v/>
      </c>
      <c r="CC15" s="491">
        <f>IF(CC$4&lt;&gt;1,"",COUNTIF(CC9:CC13,"✗"))</f>
        <v/>
      </c>
      <c r="CD15" s="491">
        <f>IF(CD$4&lt;&gt;1,"",COUNTIF(CD9:CD13,"✗"))</f>
        <v/>
      </c>
      <c r="CE15" s="491">
        <f>IF(CE$4&lt;&gt;1,"",COUNTIF(CE9:CE13,"✗"))</f>
        <v/>
      </c>
      <c r="CF15" s="491">
        <f>IF(CF$4&lt;&gt;1,"",COUNTIF(CF9:CF13,"✗"))</f>
        <v/>
      </c>
      <c r="CG15" s="491">
        <f>IF(CG$4&lt;&gt;1,"",COUNTIF(CG9:CG13,"✗"))</f>
        <v/>
      </c>
      <c r="CH15" s="491">
        <f>IF(CH$4&lt;&gt;1,"",COUNTIF(CH9:CH13,"✗"))</f>
        <v/>
      </c>
      <c r="CI15" s="491">
        <f>IF(CI$4&lt;&gt;1,"",COUNTIF(CI9:CI13,"✗"))</f>
        <v/>
      </c>
      <c r="CJ15" s="491">
        <f>IF(CJ$4&lt;&gt;1,"",COUNTIF(CJ9:CJ13,"✗"))</f>
        <v/>
      </c>
      <c r="CK15" s="491">
        <f>IF(CK$4&lt;&gt;1,"",COUNTIF(CK9:CK13,"✗"))</f>
        <v/>
      </c>
      <c r="CL15" s="491">
        <f>IF(CL$4&lt;&gt;1,"",COUNTIF(CL9:CL13,"✗"))</f>
        <v/>
      </c>
      <c r="CM15" s="491">
        <f>IF(CM$4&lt;&gt;1,"",COUNTIF(CM9:CM13,"✗"))</f>
        <v/>
      </c>
      <c r="CN15" s="491">
        <f>IF(CN$4&lt;&gt;1,"",COUNTIF(CN9:CN13,"✗"))</f>
        <v/>
      </c>
      <c r="CO15" s="491">
        <f>IF(CO$4&lt;&gt;1,"",COUNTIF(CO9:CO13,"✗"))</f>
        <v/>
      </c>
      <c r="CP15" s="491">
        <f>IF(CP$4&lt;&gt;1,"",COUNTIF(CP9:CP13,"✗"))</f>
        <v/>
      </c>
      <c r="CQ15" s="491">
        <f>IF(CQ$4&lt;&gt;1,"",COUNTIF(CQ9:CQ13,"✗"))</f>
        <v/>
      </c>
      <c r="CR15" s="491">
        <f>IF(CR$4&lt;&gt;1,"",COUNTIF(CR9:CR13,"✗"))</f>
        <v/>
      </c>
      <c r="CS15" s="491">
        <f>IF(CS$4&lt;&gt;1,"",COUNTIF(CS9:CS13,"✗"))</f>
        <v/>
      </c>
      <c r="CT15" s="491">
        <f>IF(CT$4&lt;&gt;1,"",COUNTIF(CT9:CT13,"✗"))</f>
        <v/>
      </c>
      <c r="CU15" s="491">
        <f>IF(CU$4&lt;&gt;1,"",COUNTIF(CU9:CU13,"✗"))</f>
        <v/>
      </c>
      <c r="CV15" s="491">
        <f>IF(CV$4&lt;&gt;1,"",COUNTIF(CV9:CV13,"✗"))</f>
        <v/>
      </c>
      <c r="CW15" s="491">
        <f>IF(CW$4&lt;&gt;1,"",COUNTIF(CW9:CW13,"✗"))</f>
        <v/>
      </c>
      <c r="CX15" s="491">
        <f>IF(CX$4&lt;&gt;1,"",COUNTIF(CX9:CX13,"✗"))</f>
        <v/>
      </c>
      <c r="CY15" s="492" t="n"/>
      <c r="CZ15" s="493" t="n"/>
      <c r="DA15" s="494" t="n"/>
      <c r="DB15" s="490">
        <f>IF(DB$4&lt;&gt;1,"",COUNTIF(DB9:DB13,"✗"))</f>
        <v/>
      </c>
      <c r="DC15" s="491">
        <f>IF(DC$4&lt;&gt;1,"",COUNTIF(DC9:DC13,"✗"))</f>
        <v/>
      </c>
      <c r="DD15" s="491">
        <f>IF(DD$4&lt;&gt;1,"",COUNTIF(DD9:DD13,"✗"))</f>
        <v/>
      </c>
      <c r="DE15" s="491">
        <f>IF(DE$4&lt;&gt;1,"",COUNTIF(DE9:DE13,"✗"))</f>
        <v/>
      </c>
      <c r="DF15" s="491">
        <f>IF(DF$4&lt;&gt;1,"",COUNTIF(DF9:DF13,"✗"))</f>
        <v/>
      </c>
      <c r="DG15" s="491">
        <f>IF(DG$4&lt;&gt;1,"",COUNTIF(DG9:DG13,"✗"))</f>
        <v/>
      </c>
      <c r="DH15" s="491">
        <f>IF(DH$4&lt;&gt;1,"",COUNTIF(DH9:DH13,"✗"))</f>
        <v/>
      </c>
      <c r="DI15" s="491">
        <f>IF(DI$4&lt;&gt;1,"",COUNTIF(DI9:DI13,"✗"))</f>
        <v/>
      </c>
      <c r="DJ15" s="491">
        <f>IF(DJ$4&lt;&gt;1,"",COUNTIF(DJ9:DJ13,"✗"))</f>
        <v/>
      </c>
      <c r="DK15" s="491">
        <f>IF(DK$4&lt;&gt;1,"",COUNTIF(DK9:DK13,"✗"))</f>
        <v/>
      </c>
      <c r="DL15" s="491">
        <f>IF(DL$4&lt;&gt;1,"",COUNTIF(DL9:DL13,"✗"))</f>
        <v/>
      </c>
      <c r="DM15" s="491">
        <f>IF(DM$4&lt;&gt;1,"",COUNTIF(DM9:DM13,"✗"))</f>
        <v/>
      </c>
      <c r="DN15" s="491">
        <f>IF(DN$4&lt;&gt;1,"",COUNTIF(DN9:DN13,"✗"))</f>
        <v/>
      </c>
      <c r="DO15" s="491">
        <f>IF(DO$4&lt;&gt;1,"",COUNTIF(DO9:DO13,"✗"))</f>
        <v/>
      </c>
      <c r="DP15" s="491">
        <f>IF(DP$4&lt;&gt;1,"",COUNTIF(DP9:DP13,"✗"))</f>
        <v/>
      </c>
      <c r="DQ15" s="491">
        <f>IF(DQ$4&lt;&gt;1,"",COUNTIF(DQ9:DQ13,"✗"))</f>
        <v/>
      </c>
      <c r="DR15" s="491">
        <f>IF(DR$4&lt;&gt;1,"",COUNTIF(DR9:DR13,"✗"))</f>
        <v/>
      </c>
      <c r="DS15" s="491">
        <f>IF(DS$4&lt;&gt;1,"",COUNTIF(DS9:DS13,"✗"))</f>
        <v/>
      </c>
      <c r="DT15" s="491">
        <f>IF(DT$4&lt;&gt;1,"",COUNTIF(DT9:DT13,"✗"))</f>
        <v/>
      </c>
      <c r="DU15" s="491">
        <f>IF(DU$4&lt;&gt;1,"",COUNTIF(DU9:DU13,"✗"))</f>
        <v/>
      </c>
      <c r="DV15" s="491">
        <f>IF(DV$4&lt;&gt;1,"",COUNTIF(DV9:DV13,"✗"))</f>
        <v/>
      </c>
      <c r="DW15" s="491">
        <f>IF(DW$4&lt;&gt;1,"",COUNTIF(DW9:DW13,"✗"))</f>
        <v/>
      </c>
      <c r="DX15" s="491">
        <f>IF(DX$4&lt;&gt;1,"",COUNTIF(DX9:DX13,"✗"))</f>
        <v/>
      </c>
      <c r="DY15" s="491">
        <f>IF(DY$4&lt;&gt;1,"",COUNTIF(DY9:DY13,"✗"))</f>
        <v/>
      </c>
      <c r="DZ15" s="491">
        <f>IF(DZ$4&lt;&gt;1,"",COUNTIF(DZ9:DZ13,"✗"))</f>
        <v/>
      </c>
      <c r="EA15" s="491">
        <f>IF(EA$4&lt;&gt;1,"",COUNTIF(EA9:EA13,"✗"))</f>
        <v/>
      </c>
      <c r="EB15" s="491">
        <f>IF(EB$4&lt;&gt;1,"",COUNTIF(EB9:EB13,"✗"))</f>
        <v/>
      </c>
      <c r="EC15" s="491">
        <f>IF(EC$4&lt;&gt;1,"",COUNTIF(EC9:EC13,"✗"))</f>
        <v/>
      </c>
      <c r="ED15" s="491">
        <f>IF(ED$4&lt;&gt;1,"",COUNTIF(ED9:ED13,"✗"))</f>
        <v/>
      </c>
      <c r="EE15" s="491">
        <f>IF(EE$4&lt;&gt;1,"",COUNTIF(EE9:EE13,"✗"))</f>
        <v/>
      </c>
      <c r="EF15" s="491">
        <f>IF(EF$4&lt;&gt;1,"",COUNTIF(EF9:EF13,"✗"))</f>
        <v/>
      </c>
      <c r="EG15" s="492" t="n"/>
      <c r="EH15" s="493" t="n"/>
      <c r="EI15" s="494" t="n"/>
      <c r="EJ15" s="490">
        <f>IF(EJ$4&lt;&gt;1,"",COUNTIF(EJ9:EJ13,"✗"))</f>
        <v/>
      </c>
      <c r="EK15" s="491">
        <f>IF(EK$4&lt;&gt;1,"",COUNTIF(EK9:EK13,"✗"))</f>
        <v/>
      </c>
      <c r="EL15" s="491">
        <f>IF(EL$4&lt;&gt;1,"",COUNTIF(EL9:EL13,"✗"))</f>
        <v/>
      </c>
      <c r="EM15" s="491">
        <f>IF(EM$4&lt;&gt;1,"",COUNTIF(EM9:EM13,"✗"))</f>
        <v/>
      </c>
      <c r="EN15" s="491">
        <f>IF(EN$4&lt;&gt;1,"",COUNTIF(EN9:EN13,"✗"))</f>
        <v/>
      </c>
      <c r="EO15" s="491">
        <f>IF(EO$4&lt;&gt;1,"",COUNTIF(EO9:EO13,"✗"))</f>
        <v/>
      </c>
      <c r="EP15" s="491">
        <f>IF(EP$4&lt;&gt;1,"",COUNTIF(EP9:EP13,"✗"))</f>
        <v/>
      </c>
      <c r="EQ15" s="491">
        <f>IF(EQ$4&lt;&gt;1,"",COUNTIF(EQ9:EQ13,"✗"))</f>
        <v/>
      </c>
      <c r="ER15" s="491">
        <f>IF(ER$4&lt;&gt;1,"",COUNTIF(ER9:ER13,"✗"))</f>
        <v/>
      </c>
      <c r="ES15" s="491">
        <f>IF(ES$4&lt;&gt;1,"",COUNTIF(ES9:ES13,"✗"))</f>
        <v/>
      </c>
      <c r="ET15" s="491">
        <f>IF(ET$4&lt;&gt;1,"",COUNTIF(ET9:ET13,"✗"))</f>
        <v/>
      </c>
      <c r="EU15" s="491">
        <f>IF(EU$4&lt;&gt;1,"",COUNTIF(EU9:EU13,"✗"))</f>
        <v/>
      </c>
      <c r="EV15" s="491">
        <f>IF(EV$4&lt;&gt;1,"",COUNTIF(EV9:EV13,"✗"))</f>
        <v/>
      </c>
      <c r="EW15" s="491">
        <f>IF(EW$4&lt;&gt;1,"",COUNTIF(EW9:EW13,"✗"))</f>
        <v/>
      </c>
      <c r="EX15" s="491">
        <f>IF(EX$4&lt;&gt;1,"",COUNTIF(EX9:EX13,"✗"))</f>
        <v/>
      </c>
      <c r="EY15" s="491">
        <f>IF(EY$4&lt;&gt;1,"",COUNTIF(EY9:EY13,"✗"))</f>
        <v/>
      </c>
      <c r="EZ15" s="491">
        <f>IF(EZ$4&lt;&gt;1,"",COUNTIF(EZ9:EZ13,"✗"))</f>
        <v/>
      </c>
      <c r="FA15" s="491">
        <f>IF(FA$4&lt;&gt;1,"",COUNTIF(FA9:FA13,"✗"))</f>
        <v/>
      </c>
      <c r="FB15" s="491">
        <f>IF(FB$4&lt;&gt;1,"",COUNTIF(FB9:FB13,"✗"))</f>
        <v/>
      </c>
      <c r="FC15" s="491">
        <f>IF(FC$4&lt;&gt;1,"",COUNTIF(FC9:FC13,"✗"))</f>
        <v/>
      </c>
      <c r="FD15" s="491">
        <f>IF(FD$4&lt;&gt;1,"",COUNTIF(FD9:FD13,"✗"))</f>
        <v/>
      </c>
      <c r="FE15" s="491">
        <f>IF(FE$4&lt;&gt;1,"",COUNTIF(FE9:FE13,"✗"))</f>
        <v/>
      </c>
      <c r="FF15" s="491">
        <f>IF(FF$4&lt;&gt;1,"",COUNTIF(FF9:FF13,"✗"))</f>
        <v/>
      </c>
      <c r="FG15" s="491">
        <f>IF(FG$4&lt;&gt;1,"",COUNTIF(FG9:FG13,"✗"))</f>
        <v/>
      </c>
      <c r="FH15" s="491">
        <f>IF(FH$4&lt;&gt;1,"",COUNTIF(FH9:FH13,"✗"))</f>
        <v/>
      </c>
      <c r="FI15" s="491">
        <f>IF(FI$4&lt;&gt;1,"",COUNTIF(FI9:FI13,"✗"))</f>
        <v/>
      </c>
      <c r="FJ15" s="491">
        <f>IF(FJ$4&lt;&gt;1,"",COUNTIF(FJ9:FJ13,"✗"))</f>
        <v/>
      </c>
      <c r="FK15" s="491">
        <f>IF(FK$4&lt;&gt;1,"",COUNTIF(FK9:FK13,"✗"))</f>
        <v/>
      </c>
      <c r="FL15" s="491">
        <f>IF(FL$4&lt;&gt;1,"",COUNTIF(FL9:FL13,"✗"))</f>
        <v/>
      </c>
      <c r="FM15" s="491">
        <f>IF(FM$4&lt;&gt;1,"",COUNTIF(FM9:FM13,"✗"))</f>
        <v/>
      </c>
      <c r="FN15" s="491">
        <f>IF(FN$4&lt;&gt;1,"",COUNTIF(FN9:FN13,"✗"))</f>
        <v/>
      </c>
      <c r="FO15" s="492" t="n"/>
      <c r="FP15" s="493" t="n"/>
      <c r="FQ15" s="494" t="n"/>
    </row>
    <row r="16">
      <c r="A16" s="489" t="inlineStr"/>
      <c r="B16" s="184" t="n"/>
      <c r="C16" s="184" t="n"/>
      <c r="D16" s="495" t="n"/>
      <c r="E16" s="496" t="n"/>
      <c r="F16" s="496" t="n"/>
      <c r="G16" s="496" t="n"/>
      <c r="H16" s="496" t="n"/>
      <c r="I16" s="496" t="n"/>
      <c r="J16" s="496" t="n"/>
      <c r="K16" s="496" t="n"/>
      <c r="L16" s="496" t="n"/>
      <c r="M16" s="496" t="n"/>
      <c r="N16" s="496" t="n"/>
      <c r="O16" s="496" t="n"/>
      <c r="P16" s="496" t="n"/>
      <c r="Q16" s="496" t="n"/>
      <c r="R16" s="496" t="n"/>
      <c r="S16" s="496" t="n"/>
      <c r="T16" s="496" t="n"/>
      <c r="U16" s="496" t="n"/>
      <c r="V16" s="496" t="n"/>
      <c r="W16" s="496" t="n"/>
      <c r="X16" s="496" t="n"/>
      <c r="Y16" s="496" t="n"/>
      <c r="Z16" s="496" t="n"/>
      <c r="AA16" s="496" t="n"/>
      <c r="AB16" s="496" t="n"/>
      <c r="AC16" s="496" t="n"/>
      <c r="AD16" s="496" t="n"/>
      <c r="AE16" s="496" t="n"/>
      <c r="AF16" s="496" t="n"/>
      <c r="AG16" s="496" t="n"/>
      <c r="AH16" s="496" t="n"/>
      <c r="AI16" s="492" t="n"/>
      <c r="AJ16" s="493" t="n"/>
      <c r="AK16" s="494" t="n"/>
      <c r="AL16" s="495" t="n"/>
      <c r="AM16" s="496" t="n"/>
      <c r="AN16" s="496" t="n"/>
      <c r="AO16" s="496" t="n"/>
      <c r="AP16" s="496" t="n"/>
      <c r="AQ16" s="496" t="n"/>
      <c r="AR16" s="496" t="n"/>
      <c r="AS16" s="496" t="n"/>
      <c r="AT16" s="496" t="n"/>
      <c r="AU16" s="496" t="n"/>
      <c r="AV16" s="496" t="n"/>
      <c r="AW16" s="496" t="n"/>
      <c r="AX16" s="496" t="n"/>
      <c r="AY16" s="496" t="n"/>
      <c r="AZ16" s="496" t="n"/>
      <c r="BA16" s="496" t="n"/>
      <c r="BB16" s="496" t="n"/>
      <c r="BC16" s="496" t="n"/>
      <c r="BD16" s="496" t="n"/>
      <c r="BE16" s="496" t="n"/>
      <c r="BF16" s="496" t="n"/>
      <c r="BG16" s="496" t="n"/>
      <c r="BH16" s="496" t="n"/>
      <c r="BI16" s="496" t="n"/>
      <c r="BJ16" s="496" t="n"/>
      <c r="BK16" s="496" t="n"/>
      <c r="BL16" s="496" t="n"/>
      <c r="BM16" s="496" t="n"/>
      <c r="BN16" s="496" t="n"/>
      <c r="BO16" s="496" t="n"/>
      <c r="BP16" s="496" t="n"/>
      <c r="BQ16" s="492" t="n"/>
      <c r="BR16" s="493" t="n"/>
      <c r="BS16" s="494" t="n"/>
      <c r="BT16" s="495" t="n"/>
      <c r="BU16" s="496" t="n"/>
      <c r="BV16" s="496" t="n"/>
      <c r="BW16" s="496" t="n"/>
      <c r="BX16" s="496" t="n"/>
      <c r="BY16" s="496" t="n"/>
      <c r="BZ16" s="496" t="n"/>
      <c r="CA16" s="496" t="n"/>
      <c r="CB16" s="496" t="n"/>
      <c r="CC16" s="496" t="n"/>
      <c r="CD16" s="496" t="n"/>
      <c r="CE16" s="496" t="n"/>
      <c r="CF16" s="496" t="n"/>
      <c r="CG16" s="496" t="n"/>
      <c r="CH16" s="496" t="n"/>
      <c r="CI16" s="496" t="n"/>
      <c r="CJ16" s="496" t="n"/>
      <c r="CK16" s="496" t="n"/>
      <c r="CL16" s="496" t="n"/>
      <c r="CM16" s="496" t="n"/>
      <c r="CN16" s="496" t="n"/>
      <c r="CO16" s="496" t="n"/>
      <c r="CP16" s="496" t="n"/>
      <c r="CQ16" s="496" t="n"/>
      <c r="CR16" s="496" t="n"/>
      <c r="CS16" s="496" t="n"/>
      <c r="CT16" s="496" t="n"/>
      <c r="CU16" s="496" t="n"/>
      <c r="CV16" s="496" t="n"/>
      <c r="CW16" s="496" t="n"/>
      <c r="CX16" s="496" t="n"/>
      <c r="CY16" s="492" t="n"/>
      <c r="CZ16" s="493" t="n"/>
      <c r="DA16" s="494" t="n"/>
      <c r="DB16" s="495" t="n"/>
      <c r="DC16" s="496" t="n"/>
      <c r="DD16" s="496" t="n"/>
      <c r="DE16" s="496" t="n"/>
      <c r="DF16" s="496" t="n"/>
      <c r="DG16" s="496" t="n"/>
      <c r="DH16" s="496" t="n"/>
      <c r="DI16" s="496" t="n"/>
      <c r="DJ16" s="496" t="n"/>
      <c r="DK16" s="496" t="n"/>
      <c r="DL16" s="496" t="n"/>
      <c r="DM16" s="496" t="n"/>
      <c r="DN16" s="496" t="n"/>
      <c r="DO16" s="496" t="n"/>
      <c r="DP16" s="496" t="n"/>
      <c r="DQ16" s="496" t="n"/>
      <c r="DR16" s="496" t="n"/>
      <c r="DS16" s="496" t="n"/>
      <c r="DT16" s="496" t="n"/>
      <c r="DU16" s="496" t="n"/>
      <c r="DV16" s="496" t="n"/>
      <c r="DW16" s="496" t="n"/>
      <c r="DX16" s="496" t="n"/>
      <c r="DY16" s="496" t="n"/>
      <c r="DZ16" s="496" t="n"/>
      <c r="EA16" s="496" t="n"/>
      <c r="EB16" s="496" t="n"/>
      <c r="EC16" s="496" t="n"/>
      <c r="ED16" s="496" t="n"/>
      <c r="EE16" s="496" t="n"/>
      <c r="EF16" s="496" t="n"/>
      <c r="EG16" s="492" t="n"/>
      <c r="EH16" s="493" t="n"/>
      <c r="EI16" s="494" t="n"/>
      <c r="EJ16" s="495" t="n"/>
      <c r="EK16" s="496" t="n"/>
      <c r="EL16" s="496" t="n"/>
      <c r="EM16" s="496" t="n"/>
      <c r="EN16" s="496" t="n"/>
      <c r="EO16" s="496" t="n"/>
      <c r="EP16" s="496" t="n"/>
      <c r="EQ16" s="496" t="n"/>
      <c r="ER16" s="496" t="n"/>
      <c r="ES16" s="496" t="n"/>
      <c r="ET16" s="496" t="n"/>
      <c r="EU16" s="496" t="n"/>
      <c r="EV16" s="496" t="n"/>
      <c r="EW16" s="496" t="n"/>
      <c r="EX16" s="496" t="n"/>
      <c r="EY16" s="496" t="n"/>
      <c r="EZ16" s="496" t="n"/>
      <c r="FA16" s="496" t="n"/>
      <c r="FB16" s="496" t="n"/>
      <c r="FC16" s="496" t="n"/>
      <c r="FD16" s="496" t="n"/>
      <c r="FE16" s="496" t="n"/>
      <c r="FF16" s="496" t="n"/>
      <c r="FG16" s="496" t="n"/>
      <c r="FH16" s="496" t="n"/>
      <c r="FI16" s="496" t="n"/>
      <c r="FJ16" s="496" t="n"/>
      <c r="FK16" s="496" t="n"/>
      <c r="FL16" s="496" t="n"/>
      <c r="FM16" s="496" t="n"/>
      <c r="FN16" s="496" t="n"/>
      <c r="FO16" s="492" t="n"/>
      <c r="FP16" s="493" t="n"/>
      <c r="FQ16" s="494" t="n"/>
    </row>
    <row r="17">
      <c r="A17" s="489" t="inlineStr"/>
      <c r="B17" s="184" t="n"/>
      <c r="C17" s="184" t="n"/>
      <c r="D17" s="495" t="n"/>
      <c r="E17" s="496" t="n"/>
      <c r="F17" s="496" t="n"/>
      <c r="G17" s="496" t="n"/>
      <c r="H17" s="496" t="n"/>
      <c r="I17" s="496" t="n"/>
      <c r="J17" s="496" t="n"/>
      <c r="K17" s="496" t="n"/>
      <c r="L17" s="496" t="n"/>
      <c r="M17" s="496" t="n"/>
      <c r="N17" s="496" t="n"/>
      <c r="O17" s="496" t="n"/>
      <c r="P17" s="496" t="n"/>
      <c r="Q17" s="496" t="n"/>
      <c r="R17" s="496" t="n"/>
      <c r="S17" s="496" t="n"/>
      <c r="T17" s="496" t="n"/>
      <c r="U17" s="496" t="n"/>
      <c r="V17" s="496" t="n"/>
      <c r="W17" s="496" t="n"/>
      <c r="X17" s="496" t="n"/>
      <c r="Y17" s="496" t="n"/>
      <c r="Z17" s="496" t="n"/>
      <c r="AA17" s="496" t="n"/>
      <c r="AB17" s="496" t="n"/>
      <c r="AC17" s="496" t="n"/>
      <c r="AD17" s="496" t="n"/>
      <c r="AE17" s="496" t="n"/>
      <c r="AF17" s="496" t="n"/>
      <c r="AG17" s="496" t="n"/>
      <c r="AH17" s="496" t="n"/>
      <c r="AI17" s="492" t="n"/>
      <c r="AJ17" s="493" t="n"/>
      <c r="AK17" s="494" t="n"/>
      <c r="AL17" s="495" t="n"/>
      <c r="AM17" s="496" t="n"/>
      <c r="AN17" s="496" t="n"/>
      <c r="AO17" s="496" t="n"/>
      <c r="AP17" s="496" t="n"/>
      <c r="AQ17" s="496" t="n"/>
      <c r="AR17" s="496" t="n"/>
      <c r="AS17" s="496" t="n"/>
      <c r="AT17" s="496" t="n"/>
      <c r="AU17" s="496" t="n"/>
      <c r="AV17" s="496" t="n"/>
      <c r="AW17" s="496" t="n"/>
      <c r="AX17" s="496" t="n"/>
      <c r="AY17" s="496" t="n"/>
      <c r="AZ17" s="496" t="n"/>
      <c r="BA17" s="496" t="n"/>
      <c r="BB17" s="496" t="n"/>
      <c r="BC17" s="496" t="n"/>
      <c r="BD17" s="496" t="n"/>
      <c r="BE17" s="496" t="n"/>
      <c r="BF17" s="496" t="n"/>
      <c r="BG17" s="496" t="n"/>
      <c r="BH17" s="496" t="n"/>
      <c r="BI17" s="496" t="n"/>
      <c r="BJ17" s="496" t="n"/>
      <c r="BK17" s="496" t="n"/>
      <c r="BL17" s="496" t="n"/>
      <c r="BM17" s="496" t="n"/>
      <c r="BN17" s="496" t="n"/>
      <c r="BO17" s="496" t="n"/>
      <c r="BP17" s="496" t="n"/>
      <c r="BQ17" s="492" t="n"/>
      <c r="BR17" s="493" t="n"/>
      <c r="BS17" s="494" t="n"/>
      <c r="BT17" s="495" t="n"/>
      <c r="BU17" s="496" t="n"/>
      <c r="BV17" s="496" t="n"/>
      <c r="BW17" s="496" t="n"/>
      <c r="BX17" s="496" t="n"/>
      <c r="BY17" s="496" t="n"/>
      <c r="BZ17" s="496" t="n"/>
      <c r="CA17" s="496" t="n"/>
      <c r="CB17" s="496" t="n"/>
      <c r="CC17" s="496" t="n"/>
      <c r="CD17" s="496" t="n"/>
      <c r="CE17" s="496" t="n"/>
      <c r="CF17" s="496" t="n"/>
      <c r="CG17" s="496" t="n"/>
      <c r="CH17" s="496" t="n"/>
      <c r="CI17" s="496" t="n"/>
      <c r="CJ17" s="496" t="n"/>
      <c r="CK17" s="496" t="n"/>
      <c r="CL17" s="496" t="n"/>
      <c r="CM17" s="496" t="n"/>
      <c r="CN17" s="496" t="n"/>
      <c r="CO17" s="496" t="n"/>
      <c r="CP17" s="496" t="n"/>
      <c r="CQ17" s="496" t="n"/>
      <c r="CR17" s="496" t="n"/>
      <c r="CS17" s="496" t="n"/>
      <c r="CT17" s="496" t="n"/>
      <c r="CU17" s="496" t="n"/>
      <c r="CV17" s="496" t="n"/>
      <c r="CW17" s="496" t="n"/>
      <c r="CX17" s="496" t="n"/>
      <c r="CY17" s="492" t="n"/>
      <c r="CZ17" s="493" t="n"/>
      <c r="DA17" s="494" t="n"/>
      <c r="DB17" s="495" t="n"/>
      <c r="DC17" s="496" t="n"/>
      <c r="DD17" s="496" t="n"/>
      <c r="DE17" s="496" t="n"/>
      <c r="DF17" s="496" t="n"/>
      <c r="DG17" s="496" t="n"/>
      <c r="DH17" s="496" t="n"/>
      <c r="DI17" s="496" t="n"/>
      <c r="DJ17" s="496" t="n"/>
      <c r="DK17" s="496" t="n"/>
      <c r="DL17" s="496" t="n"/>
      <c r="DM17" s="496" t="n"/>
      <c r="DN17" s="496" t="n"/>
      <c r="DO17" s="496" t="n"/>
      <c r="DP17" s="496" t="n"/>
      <c r="DQ17" s="496" t="n"/>
      <c r="DR17" s="496" t="n"/>
      <c r="DS17" s="496" t="n"/>
      <c r="DT17" s="496" t="n"/>
      <c r="DU17" s="496" t="n"/>
      <c r="DV17" s="496" t="n"/>
      <c r="DW17" s="496" t="n"/>
      <c r="DX17" s="496" t="n"/>
      <c r="DY17" s="496" t="n"/>
      <c r="DZ17" s="496" t="n"/>
      <c r="EA17" s="496" t="n"/>
      <c r="EB17" s="496" t="n"/>
      <c r="EC17" s="496" t="n"/>
      <c r="ED17" s="496" t="n"/>
      <c r="EE17" s="496" t="n"/>
      <c r="EF17" s="496" t="n"/>
      <c r="EG17" s="492" t="n"/>
      <c r="EH17" s="493" t="n"/>
      <c r="EI17" s="494" t="n"/>
      <c r="EJ17" s="495" t="n"/>
      <c r="EK17" s="496" t="n"/>
      <c r="EL17" s="496" t="n"/>
      <c r="EM17" s="496" t="n"/>
      <c r="EN17" s="496" t="n"/>
      <c r="EO17" s="496" t="n"/>
      <c r="EP17" s="496" t="n"/>
      <c r="EQ17" s="496" t="n"/>
      <c r="ER17" s="496" t="n"/>
      <c r="ES17" s="496" t="n"/>
      <c r="ET17" s="496" t="n"/>
      <c r="EU17" s="496" t="n"/>
      <c r="EV17" s="496" t="n"/>
      <c r="EW17" s="496" t="n"/>
      <c r="EX17" s="496" t="n"/>
      <c r="EY17" s="496" t="n"/>
      <c r="EZ17" s="496" t="n"/>
      <c r="FA17" s="496" t="n"/>
      <c r="FB17" s="496" t="n"/>
      <c r="FC17" s="496" t="n"/>
      <c r="FD17" s="496" t="n"/>
      <c r="FE17" s="496" t="n"/>
      <c r="FF17" s="496" t="n"/>
      <c r="FG17" s="496" t="n"/>
      <c r="FH17" s="496" t="n"/>
      <c r="FI17" s="496" t="n"/>
      <c r="FJ17" s="496" t="n"/>
      <c r="FK17" s="496" t="n"/>
      <c r="FL17" s="496" t="n"/>
      <c r="FM17" s="496" t="n"/>
      <c r="FN17" s="496" t="n"/>
      <c r="FO17" s="492" t="n"/>
      <c r="FP17" s="493" t="n"/>
      <c r="FQ17" s="49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tabColor rgb="00FFB36B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497" t="inlineStr">
        <is>
          <t>🏠</t>
        </is>
      </c>
      <c r="B1" s="498" t="n"/>
      <c r="C1" s="498" t="n"/>
      <c r="D1" s="498" t="n"/>
      <c r="E1" s="498" t="n"/>
      <c r="F1" s="498" t="n"/>
      <c r="G1" s="498" t="n"/>
      <c r="H1" s="498" t="n"/>
      <c r="I1" s="498" t="n"/>
      <c r="J1" s="498" t="n"/>
      <c r="K1" s="498" t="n"/>
      <c r="L1" s="498" t="n"/>
      <c r="M1" s="498" t="n"/>
      <c r="N1" s="498" t="n"/>
      <c r="O1" s="498" t="n"/>
      <c r="P1" s="498" t="n"/>
      <c r="Q1" s="498" t="n"/>
      <c r="R1" s="498" t="n"/>
      <c r="S1" s="498" t="n"/>
      <c r="T1" s="498" t="n"/>
      <c r="U1" s="498" t="n"/>
      <c r="V1" s="498" t="n"/>
      <c r="W1" s="498" t="n"/>
      <c r="X1" s="498" t="n"/>
      <c r="Y1" s="498" t="n"/>
      <c r="Z1" s="498" t="n"/>
      <c r="AA1" s="498" t="n"/>
      <c r="AB1" s="498" t="n"/>
      <c r="AC1" s="498" t="n"/>
      <c r="AD1" s="498" t="n"/>
      <c r="AE1" s="498" t="n"/>
      <c r="AF1" s="498" t="n"/>
      <c r="AG1" s="498" t="n"/>
      <c r="AH1" s="498" t="n"/>
      <c r="AI1" s="498" t="n"/>
      <c r="AJ1" s="498" t="n"/>
      <c r="AK1" s="498" t="n"/>
      <c r="AL1" s="498" t="n"/>
      <c r="AM1" s="498" t="n"/>
      <c r="AN1" s="498" t="n"/>
      <c r="AO1" s="498" t="n"/>
      <c r="AP1" s="498" t="n"/>
      <c r="AQ1" s="498" t="n"/>
      <c r="AR1" s="498" t="n"/>
      <c r="AS1" s="498" t="n"/>
      <c r="AT1" s="498" t="n"/>
      <c r="AU1" s="498" t="n"/>
      <c r="AV1" s="498" t="n"/>
      <c r="AW1" s="498" t="n"/>
      <c r="AX1" s="498" t="n"/>
      <c r="AY1" s="498" t="n"/>
      <c r="AZ1" s="498" t="n"/>
      <c r="BA1" s="498" t="n"/>
      <c r="BB1" s="498" t="n"/>
      <c r="BC1" s="498" t="n"/>
      <c r="BD1" s="498" t="n"/>
      <c r="BE1" s="498" t="n"/>
      <c r="BF1" s="498" t="n"/>
      <c r="BG1" s="498" t="n"/>
      <c r="BH1" s="498" t="n"/>
      <c r="BI1" s="498" t="n"/>
      <c r="BJ1" s="498" t="n"/>
      <c r="BK1" s="498" t="n"/>
      <c r="BL1" s="498" t="n"/>
      <c r="BM1" s="498" t="n"/>
      <c r="BN1" s="498" t="n"/>
      <c r="BO1" s="498" t="n"/>
      <c r="BP1" s="498" t="n"/>
      <c r="BQ1" s="498" t="n"/>
      <c r="BR1" s="498" t="n"/>
      <c r="BS1" s="498" t="n"/>
      <c r="BT1" s="498" t="n"/>
      <c r="BU1" s="498" t="n"/>
      <c r="BV1" s="498" t="n"/>
      <c r="BW1" s="498" t="n"/>
      <c r="BX1" s="498" t="n"/>
      <c r="BY1" s="498" t="n"/>
      <c r="BZ1" s="498" t="n"/>
      <c r="CA1" s="498" t="n"/>
      <c r="CB1" s="498" t="n"/>
      <c r="CC1" s="498" t="n"/>
      <c r="CD1" s="498" t="n"/>
      <c r="CE1" s="498" t="n"/>
      <c r="CF1" s="498" t="n"/>
      <c r="CG1" s="498" t="n"/>
      <c r="CH1" s="498" t="n"/>
      <c r="CI1" s="498" t="n"/>
      <c r="CJ1" s="498" t="n"/>
      <c r="CK1" s="498" t="n"/>
      <c r="CL1" s="498" t="n"/>
      <c r="CM1" s="498" t="n"/>
      <c r="CN1" s="498" t="n"/>
      <c r="CO1" s="498" t="n"/>
      <c r="CP1" s="498" t="n"/>
      <c r="CQ1" s="498" t="n"/>
      <c r="CR1" s="498" t="n"/>
      <c r="CS1" s="498" t="n"/>
      <c r="CT1" s="498" t="n"/>
      <c r="CU1" s="498" t="n"/>
      <c r="CV1" s="498" t="n"/>
      <c r="CW1" s="498" t="n"/>
      <c r="CX1" s="498" t="n"/>
      <c r="CY1" s="498" t="n"/>
      <c r="CZ1" s="498" t="n"/>
      <c r="DA1" s="498" t="n"/>
      <c r="DB1" s="498" t="n"/>
      <c r="DC1" s="498" t="n"/>
      <c r="DD1" s="498" t="n"/>
      <c r="DE1" s="498" t="n"/>
      <c r="DF1" s="498" t="n"/>
      <c r="DG1" s="498" t="n"/>
      <c r="DH1" s="498" t="n"/>
      <c r="DI1" s="498" t="n"/>
      <c r="DJ1" s="498" t="n"/>
      <c r="DK1" s="498" t="n"/>
      <c r="DL1" s="498" t="n"/>
      <c r="DM1" s="498" t="n"/>
      <c r="DN1" s="498" t="n"/>
      <c r="DO1" s="498" t="n"/>
      <c r="DP1" s="498" t="n"/>
      <c r="DQ1" s="498" t="n"/>
      <c r="DR1" s="498" t="n"/>
      <c r="DS1" s="498" t="n"/>
      <c r="DT1" s="498" t="n"/>
      <c r="DU1" s="498" t="n"/>
      <c r="DV1" s="498" t="n"/>
      <c r="DW1" s="498" t="n"/>
      <c r="DX1" s="498" t="n"/>
      <c r="DY1" s="498" t="n"/>
      <c r="DZ1" s="498" t="n"/>
      <c r="EA1" s="498" t="n"/>
      <c r="EB1" s="498" t="n"/>
      <c r="EC1" s="498" t="n"/>
      <c r="ED1" s="498" t="n"/>
      <c r="EE1" s="498" t="n"/>
      <c r="EF1" s="498" t="n"/>
      <c r="EG1" s="498" t="n"/>
      <c r="EH1" s="498" t="n"/>
      <c r="EI1" s="498" t="n"/>
      <c r="EJ1" s="498" t="n"/>
      <c r="EK1" s="498" t="n"/>
      <c r="EL1" s="498" t="n"/>
      <c r="EM1" s="498" t="n"/>
      <c r="EN1" s="498" t="n"/>
      <c r="EO1" s="498" t="n"/>
      <c r="EP1" s="498" t="n"/>
      <c r="EQ1" s="498" t="n"/>
      <c r="ER1" s="498" t="n"/>
      <c r="ES1" s="498" t="n"/>
      <c r="ET1" s="498" t="n"/>
      <c r="EU1" s="498" t="n"/>
      <c r="EV1" s="498" t="n"/>
      <c r="EW1" s="498" t="n"/>
      <c r="EX1" s="498" t="n"/>
      <c r="EY1" s="498" t="n"/>
      <c r="EZ1" s="498" t="n"/>
      <c r="FA1" s="498" t="n"/>
      <c r="FB1" s="498" t="n"/>
      <c r="FC1" s="498" t="n"/>
      <c r="FD1" s="498" t="n"/>
      <c r="FE1" s="498" t="n"/>
      <c r="FF1" s="498" t="n"/>
      <c r="FG1" s="498" t="n"/>
      <c r="FH1" s="498" t="n"/>
      <c r="FI1" s="498" t="n"/>
      <c r="FJ1" s="498" t="n"/>
      <c r="FK1" s="498" t="n"/>
      <c r="FL1" s="498" t="n"/>
      <c r="FM1" s="498" t="n"/>
      <c r="FN1" s="498" t="n"/>
      <c r="FO1" s="498" t="n"/>
      <c r="FP1" s="498" t="n"/>
      <c r="FQ1" s="498" t="n"/>
      <c r="FR1" s="498" t="n"/>
      <c r="FS1" s="498" t="n"/>
      <c r="FT1" s="498" t="n"/>
      <c r="FU1" s="498" t="n"/>
      <c r="FV1" s="498" t="n"/>
      <c r="FW1" s="498" t="n"/>
      <c r="FX1" s="498" t="n"/>
      <c r="FY1" s="498" t="n"/>
      <c r="FZ1" s="498" t="n"/>
      <c r="GA1" s="498" t="n"/>
      <c r="GB1" s="498" t="n"/>
      <c r="GC1" s="498" t="n"/>
      <c r="GD1" s="498" t="n"/>
      <c r="GE1" s="498" t="n"/>
      <c r="GF1" s="498" t="n"/>
      <c r="GG1" s="498" t="n"/>
      <c r="GH1" s="498" t="n"/>
      <c r="GI1" s="498" t="n"/>
      <c r="GJ1" s="498" t="n"/>
      <c r="GK1" s="498" t="n"/>
      <c r="GL1" s="498" t="n"/>
      <c r="GM1" s="498" t="n"/>
      <c r="GN1" s="498" t="n"/>
      <c r="GO1" s="498" t="n"/>
      <c r="GP1" s="498" t="n"/>
      <c r="GQ1" s="498" t="n"/>
      <c r="GR1" s="498" t="n"/>
      <c r="GS1" s="498" t="n"/>
      <c r="GT1" s="498" t="n"/>
      <c r="GU1" s="498" t="n"/>
      <c r="GV1" s="498" t="n"/>
      <c r="GW1" s="498" t="n"/>
      <c r="GX1" s="498" t="n"/>
      <c r="GY1" s="498" t="n"/>
    </row>
    <row r="2" ht="20" customHeight="1">
      <c r="A2" s="499" t="inlineStr">
        <is>
          <t>หน้าหลัก</t>
        </is>
      </c>
      <c r="B2" s="50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01" t="n"/>
      <c r="D2" s="501" t="n"/>
      <c r="E2" s="501" t="n"/>
      <c r="F2" s="501" t="n"/>
      <c r="G2" s="501" t="n"/>
      <c r="H2" s="501" t="n"/>
      <c r="I2" s="501" t="n"/>
      <c r="J2" s="501" t="n"/>
      <c r="K2" s="501" t="n"/>
      <c r="L2" s="501" t="n"/>
      <c r="M2" s="501" t="n"/>
      <c r="N2" s="501" t="n"/>
      <c r="O2" s="501" t="n"/>
      <c r="P2" s="501" t="n"/>
      <c r="Q2" s="501" t="n"/>
      <c r="R2" s="501" t="n"/>
      <c r="S2" s="501" t="n"/>
      <c r="T2" s="501" t="n"/>
      <c r="U2" s="501" t="n"/>
      <c r="V2" s="501" t="n"/>
      <c r="W2" s="501" t="n"/>
      <c r="X2" s="501" t="n"/>
      <c r="Y2" s="501" t="n"/>
      <c r="Z2" s="501" t="n"/>
      <c r="AA2" s="501" t="n"/>
      <c r="AB2" s="501" t="n"/>
      <c r="AC2" s="501" t="n"/>
      <c r="AD2" s="501" t="n"/>
      <c r="AE2" s="501" t="n"/>
      <c r="AF2" s="501" t="n"/>
      <c r="AG2" s="501" t="n"/>
      <c r="AH2" s="501" t="n"/>
      <c r="AI2" s="501" t="n"/>
      <c r="AJ2" s="501" t="n"/>
      <c r="AK2" s="501" t="n"/>
      <c r="AL2" s="501" t="n"/>
      <c r="AM2" s="501" t="n"/>
      <c r="AN2" s="501" t="n"/>
      <c r="AO2" s="501" t="n"/>
      <c r="AP2" s="501" t="n"/>
      <c r="AQ2" s="501" t="n"/>
      <c r="AR2" s="501" t="n"/>
      <c r="AS2" s="501" t="n"/>
      <c r="AT2" s="501" t="n"/>
      <c r="AU2" s="501" t="n"/>
      <c r="AV2" s="501" t="n"/>
      <c r="AW2" s="501" t="n"/>
      <c r="AX2" s="501" t="n"/>
      <c r="AY2" s="501" t="n"/>
      <c r="AZ2" s="501" t="n"/>
      <c r="BA2" s="501" t="n"/>
      <c r="BB2" s="501" t="n"/>
      <c r="BC2" s="501" t="n"/>
      <c r="BD2" s="501" t="n"/>
      <c r="BE2" s="501" t="n"/>
      <c r="BF2" s="501" t="n"/>
      <c r="BG2" s="501" t="n"/>
      <c r="BH2" s="501" t="n"/>
      <c r="BI2" s="501" t="n"/>
      <c r="BJ2" s="501" t="n"/>
      <c r="BK2" s="501" t="n"/>
      <c r="BL2" s="501" t="n"/>
      <c r="BM2" s="501" t="n"/>
      <c r="BN2" s="501" t="n"/>
      <c r="BO2" s="501" t="n"/>
      <c r="BP2" s="501" t="n"/>
      <c r="BQ2" s="501" t="n"/>
      <c r="BR2" s="501" t="n"/>
      <c r="BS2" s="501" t="n"/>
      <c r="BT2" s="501" t="n"/>
      <c r="BU2" s="501" t="n"/>
      <c r="BV2" s="501" t="n"/>
      <c r="BW2" s="501" t="n"/>
      <c r="BX2" s="501" t="n"/>
      <c r="BY2" s="501" t="n"/>
      <c r="BZ2" s="501" t="n"/>
      <c r="CA2" s="501" t="n"/>
      <c r="CB2" s="501" t="n"/>
      <c r="CC2" s="501" t="n"/>
      <c r="CD2" s="501" t="n"/>
      <c r="CE2" s="501" t="n"/>
      <c r="CF2" s="501" t="n"/>
      <c r="CG2" s="501" t="n"/>
      <c r="CH2" s="501" t="n"/>
      <c r="CI2" s="501" t="n"/>
      <c r="CJ2" s="501" t="n"/>
      <c r="CK2" s="501" t="n"/>
      <c r="CL2" s="501" t="n"/>
      <c r="CM2" s="501" t="n"/>
      <c r="CN2" s="501" t="n"/>
      <c r="CO2" s="501" t="n"/>
      <c r="CP2" s="501" t="n"/>
      <c r="CQ2" s="501" t="n"/>
      <c r="CR2" s="501" t="n"/>
      <c r="CS2" s="501" t="n"/>
      <c r="CT2" s="501" t="n"/>
      <c r="CU2" s="501" t="n"/>
      <c r="CV2" s="501" t="n"/>
      <c r="CW2" s="501" t="n"/>
      <c r="CX2" s="501" t="n"/>
      <c r="CY2" s="501" t="n"/>
      <c r="CZ2" s="501" t="n"/>
      <c r="DA2" s="501" t="n"/>
      <c r="DB2" s="501" t="n"/>
      <c r="DC2" s="501" t="n"/>
      <c r="DD2" s="501" t="n"/>
      <c r="DE2" s="501" t="n"/>
      <c r="DF2" s="501" t="n"/>
      <c r="DG2" s="501" t="n"/>
      <c r="DH2" s="501" t="n"/>
      <c r="DI2" s="501" t="n"/>
      <c r="DJ2" s="501" t="n"/>
      <c r="DK2" s="501" t="n"/>
      <c r="DL2" s="501" t="n"/>
      <c r="DM2" s="501" t="n"/>
      <c r="DN2" s="501" t="n"/>
      <c r="DO2" s="501" t="n"/>
      <c r="DP2" s="501" t="n"/>
      <c r="DQ2" s="501" t="n"/>
      <c r="DR2" s="501" t="n"/>
      <c r="DS2" s="501" t="n"/>
      <c r="DT2" s="501" t="n"/>
      <c r="DU2" s="501" t="n"/>
      <c r="DV2" s="501" t="n"/>
      <c r="DW2" s="501" t="n"/>
      <c r="DX2" s="501" t="n"/>
      <c r="DY2" s="501" t="n"/>
      <c r="DZ2" s="501" t="n"/>
      <c r="EA2" s="501" t="n"/>
      <c r="EB2" s="501" t="n"/>
      <c r="EC2" s="501" t="n"/>
      <c r="ED2" s="501" t="n"/>
      <c r="EE2" s="501" t="n"/>
      <c r="EF2" s="501" t="n"/>
      <c r="EG2" s="501" t="n"/>
      <c r="EH2" s="501" t="n"/>
      <c r="EI2" s="501" t="n"/>
      <c r="EJ2" s="501" t="n"/>
      <c r="EK2" s="501" t="n"/>
      <c r="EL2" s="501" t="n"/>
      <c r="EM2" s="501" t="n"/>
      <c r="EN2" s="501" t="n"/>
      <c r="EO2" s="501" t="n"/>
      <c r="EP2" s="501" t="n"/>
      <c r="EQ2" s="501" t="n"/>
      <c r="ER2" s="501" t="n"/>
      <c r="ES2" s="501" t="n"/>
      <c r="ET2" s="501" t="n"/>
      <c r="EU2" s="501" t="n"/>
      <c r="EV2" s="501" t="n"/>
      <c r="EW2" s="501" t="n"/>
      <c r="EX2" s="501" t="n"/>
      <c r="EY2" s="501" t="n"/>
      <c r="EZ2" s="501" t="n"/>
      <c r="FA2" s="501" t="n"/>
      <c r="FB2" s="501" t="n"/>
      <c r="FC2" s="501" t="n"/>
      <c r="FD2" s="501" t="n"/>
      <c r="FE2" s="501" t="n"/>
      <c r="FF2" s="501" t="n"/>
      <c r="FG2" s="501" t="n"/>
      <c r="FH2" s="501" t="n"/>
      <c r="FI2" s="501" t="n"/>
      <c r="FJ2" s="501" t="n"/>
      <c r="FK2" s="501" t="n"/>
      <c r="FL2" s="501" t="n"/>
      <c r="FM2" s="501" t="n"/>
      <c r="FN2" s="501" t="n"/>
      <c r="FO2" s="501" t="n"/>
      <c r="FP2" s="501" t="n"/>
      <c r="FQ2" s="501" t="n"/>
      <c r="FR2" s="501" t="n"/>
      <c r="FS2" s="501" t="n"/>
      <c r="FT2" s="501" t="n"/>
      <c r="FU2" s="501" t="n"/>
      <c r="FV2" s="501" t="n"/>
      <c r="FW2" s="501" t="n"/>
      <c r="FX2" s="501" t="n"/>
      <c r="FY2" s="501" t="n"/>
      <c r="FZ2" s="501" t="n"/>
      <c r="GA2" s="501" t="n"/>
      <c r="GB2" s="501" t="n"/>
      <c r="GC2" s="501" t="n"/>
      <c r="GD2" s="501" t="n"/>
      <c r="GE2" s="501" t="n"/>
      <c r="GF2" s="501" t="n"/>
      <c r="GG2" s="501" t="n"/>
      <c r="GH2" s="501" t="n"/>
      <c r="GI2" s="501" t="n"/>
      <c r="GJ2" s="501" t="n"/>
      <c r="GK2" s="501" t="n"/>
      <c r="GL2" s="501" t="n"/>
      <c r="GM2" s="501" t="n"/>
      <c r="GN2" s="501" t="n"/>
      <c r="GO2" s="501" t="n"/>
      <c r="GP2" s="501" t="n"/>
      <c r="GQ2" s="501" t="n"/>
      <c r="GR2" s="501" t="n"/>
      <c r="GS2" s="501" t="n"/>
      <c r="GT2" s="501" t="n"/>
      <c r="GU2" s="501" t="n"/>
      <c r="GV2" s="501" t="n"/>
      <c r="GW2" s="501" t="n"/>
      <c r="GX2" s="501" t="n"/>
      <c r="GY2" s="501" t="n"/>
    </row>
    <row r="3" ht="18" customHeight="1">
      <c r="B3" s="502" t="inlineStr">
        <is>
          <t>รหัส   ห = ทานหมด     ล = ทานเหลือ     ง = งด/ไม่ทาน      •   แถวล่างสุดบันทึกเมนูอาหาร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503" t="inlineStr">
        <is>
          <t>เลขที่</t>
        </is>
      </c>
      <c r="B5" s="503" t="inlineStr">
        <is>
          <t>ชื่อ - สกุล</t>
        </is>
      </c>
      <c r="C5" s="504" t="inlineStr">
        <is>
          <t>ร้อยละ
ทานหมด</t>
        </is>
      </c>
      <c r="D5" s="505">
        <f>"เดือนพฤษภาคม  พ.ศ. "&amp;('ข้อมูลโรงเรียน'!$C$12-543+543)</f>
        <v/>
      </c>
      <c r="AI5" s="506" t="inlineStr">
        <is>
          <t>สรุป พ.ค.</t>
        </is>
      </c>
      <c r="AL5" s="505">
        <f>"เดือนมิถุนายน  พ.ศ. "&amp;('ข้อมูลโรงเรียน'!$C$12-543+543)</f>
        <v/>
      </c>
      <c r="BQ5" s="506" t="inlineStr">
        <is>
          <t>สรุป มิ.ย.</t>
        </is>
      </c>
      <c r="BT5" s="505">
        <f>"เดือนกรกฎาคม  พ.ศ. "&amp;('ข้อมูลโรงเรียน'!$C$12-543+543)</f>
        <v/>
      </c>
      <c r="CY5" s="506" t="inlineStr">
        <is>
          <t>สรุป ก.ค.</t>
        </is>
      </c>
      <c r="DB5" s="505">
        <f>"เดือนสิงหาคม  พ.ศ. "&amp;('ข้อมูลโรงเรียน'!$C$12-543+543)</f>
        <v/>
      </c>
      <c r="EG5" s="506" t="inlineStr">
        <is>
          <t>สรุป ส.ค.</t>
        </is>
      </c>
      <c r="EJ5" s="505">
        <f>"เดือนกันยายน  พ.ศ. "&amp;('ข้อมูลโรงเรียน'!$C$12-543+543)</f>
        <v/>
      </c>
      <c r="FO5" s="506" t="inlineStr">
        <is>
          <t>สรุป ก.ย.</t>
        </is>
      </c>
      <c r="FR5" s="505">
        <f>"เดือนตุลาคม  พ.ศ. "&amp;('ข้อมูลโรงเรียน'!$C$12-543+543)</f>
        <v/>
      </c>
      <c r="GW5" s="506" t="inlineStr">
        <is>
          <t>สรุป ต.ค.</t>
        </is>
      </c>
    </row>
    <row r="6">
      <c r="D6" s="507">
        <f>IF('ปฏิทิน'!D1="","",DAY('ปฏิทิน'!D1))</f>
        <v/>
      </c>
      <c r="E6" s="504">
        <f>IF('ปฏิทิน'!E1="","",DAY('ปฏิทิน'!E1))</f>
        <v/>
      </c>
      <c r="F6" s="504">
        <f>IF('ปฏิทิน'!F1="","",DAY('ปฏิทิน'!F1))</f>
        <v/>
      </c>
      <c r="G6" s="504">
        <f>IF('ปฏิทิน'!G1="","",DAY('ปฏิทิน'!G1))</f>
        <v/>
      </c>
      <c r="H6" s="504">
        <f>IF('ปฏิทิน'!H1="","",DAY('ปฏิทิน'!H1))</f>
        <v/>
      </c>
      <c r="I6" s="504">
        <f>IF('ปฏิทิน'!I1="","",DAY('ปฏิทิน'!I1))</f>
        <v/>
      </c>
      <c r="J6" s="504">
        <f>IF('ปฏิทิน'!J1="","",DAY('ปฏิทิน'!J1))</f>
        <v/>
      </c>
      <c r="K6" s="504">
        <f>IF('ปฏิทิน'!K1="","",DAY('ปฏิทิน'!K1))</f>
        <v/>
      </c>
      <c r="L6" s="504">
        <f>IF('ปฏิทิน'!L1="","",DAY('ปฏิทิน'!L1))</f>
        <v/>
      </c>
      <c r="M6" s="504">
        <f>IF('ปฏิทิน'!M1="","",DAY('ปฏิทิน'!M1))</f>
        <v/>
      </c>
      <c r="N6" s="504">
        <f>IF('ปฏิทิน'!N1="","",DAY('ปฏิทิน'!N1))</f>
        <v/>
      </c>
      <c r="O6" s="504">
        <f>IF('ปฏิทิน'!O1="","",DAY('ปฏิทิน'!O1))</f>
        <v/>
      </c>
      <c r="P6" s="504">
        <f>IF('ปฏิทิน'!P1="","",DAY('ปฏิทิน'!P1))</f>
        <v/>
      </c>
      <c r="Q6" s="504">
        <f>IF('ปฏิทิน'!Q1="","",DAY('ปฏิทิน'!Q1))</f>
        <v/>
      </c>
      <c r="R6" s="504">
        <f>IF('ปฏิทิน'!R1="","",DAY('ปฏิทิน'!R1))</f>
        <v/>
      </c>
      <c r="S6" s="504">
        <f>IF('ปฏิทิน'!S1="","",DAY('ปฏิทิน'!S1))</f>
        <v/>
      </c>
      <c r="T6" s="504">
        <f>IF('ปฏิทิน'!T1="","",DAY('ปฏิทิน'!T1))</f>
        <v/>
      </c>
      <c r="U6" s="504">
        <f>IF('ปฏิทิน'!U1="","",DAY('ปฏิทิน'!U1))</f>
        <v/>
      </c>
      <c r="V6" s="504">
        <f>IF('ปฏิทิน'!V1="","",DAY('ปฏิทิน'!V1))</f>
        <v/>
      </c>
      <c r="W6" s="504">
        <f>IF('ปฏิทิน'!W1="","",DAY('ปฏิทิน'!W1))</f>
        <v/>
      </c>
      <c r="X6" s="504">
        <f>IF('ปฏิทิน'!X1="","",DAY('ปฏิทิน'!X1))</f>
        <v/>
      </c>
      <c r="Y6" s="504">
        <f>IF('ปฏิทิน'!Y1="","",DAY('ปฏิทิน'!Y1))</f>
        <v/>
      </c>
      <c r="Z6" s="504">
        <f>IF('ปฏิทิน'!Z1="","",DAY('ปฏิทิน'!Z1))</f>
        <v/>
      </c>
      <c r="AA6" s="504">
        <f>IF('ปฏิทิน'!AA1="","",DAY('ปฏิทิน'!AA1))</f>
        <v/>
      </c>
      <c r="AB6" s="504">
        <f>IF('ปฏิทิน'!AB1="","",DAY('ปฏิทิน'!AB1))</f>
        <v/>
      </c>
      <c r="AC6" s="504">
        <f>IF('ปฏิทิน'!AC1="","",DAY('ปฏิทิน'!AC1))</f>
        <v/>
      </c>
      <c r="AD6" s="504">
        <f>IF('ปฏิทิน'!AD1="","",DAY('ปฏิทิน'!AD1))</f>
        <v/>
      </c>
      <c r="AE6" s="504">
        <f>IF('ปฏิทิน'!AE1="","",DAY('ปฏิทิน'!AE1))</f>
        <v/>
      </c>
      <c r="AF6" s="504">
        <f>IF('ปฏิทิน'!AF1="","",DAY('ปฏิทิน'!AF1))</f>
        <v/>
      </c>
      <c r="AG6" s="504">
        <f>IF('ปฏิทิน'!AG1="","",DAY('ปฏิทิน'!AG1))</f>
        <v/>
      </c>
      <c r="AH6" s="504">
        <f>IF('ปฏิทิน'!AH1="","",DAY('ปฏิทิน'!AH1))</f>
        <v/>
      </c>
      <c r="AI6" s="508" t="inlineStr">
        <is>
          <t>หมด</t>
        </is>
      </c>
      <c r="AJ6" s="509" t="inlineStr">
        <is>
          <t>เหลือ</t>
        </is>
      </c>
      <c r="AK6" s="510" t="inlineStr">
        <is>
          <t>ไม่
ทาน</t>
        </is>
      </c>
      <c r="AL6" s="507">
        <f>IF('ปฏิทิน'!AL1="","",DAY('ปฏิทิน'!AL1))</f>
        <v/>
      </c>
      <c r="AM6" s="504">
        <f>IF('ปฏิทิน'!AM1="","",DAY('ปฏิทิน'!AM1))</f>
        <v/>
      </c>
      <c r="AN6" s="504">
        <f>IF('ปฏิทิน'!AN1="","",DAY('ปฏิทิน'!AN1))</f>
        <v/>
      </c>
      <c r="AO6" s="504">
        <f>IF('ปฏิทิน'!AO1="","",DAY('ปฏิทิน'!AO1))</f>
        <v/>
      </c>
      <c r="AP6" s="504">
        <f>IF('ปฏิทิน'!AP1="","",DAY('ปฏิทิน'!AP1))</f>
        <v/>
      </c>
      <c r="AQ6" s="504">
        <f>IF('ปฏิทิน'!AQ1="","",DAY('ปฏิทิน'!AQ1))</f>
        <v/>
      </c>
      <c r="AR6" s="504">
        <f>IF('ปฏิทิน'!AR1="","",DAY('ปฏิทิน'!AR1))</f>
        <v/>
      </c>
      <c r="AS6" s="504">
        <f>IF('ปฏิทิน'!AS1="","",DAY('ปฏิทิน'!AS1))</f>
        <v/>
      </c>
      <c r="AT6" s="504">
        <f>IF('ปฏิทิน'!AT1="","",DAY('ปฏิทิน'!AT1))</f>
        <v/>
      </c>
      <c r="AU6" s="504">
        <f>IF('ปฏิทิน'!AU1="","",DAY('ปฏิทิน'!AU1))</f>
        <v/>
      </c>
      <c r="AV6" s="504">
        <f>IF('ปฏิทิน'!AV1="","",DAY('ปฏิทิน'!AV1))</f>
        <v/>
      </c>
      <c r="AW6" s="504">
        <f>IF('ปฏิทิน'!AW1="","",DAY('ปฏิทิน'!AW1))</f>
        <v/>
      </c>
      <c r="AX6" s="504">
        <f>IF('ปฏิทิน'!AX1="","",DAY('ปฏิทิน'!AX1))</f>
        <v/>
      </c>
      <c r="AY6" s="504">
        <f>IF('ปฏิทิน'!AY1="","",DAY('ปฏิทิน'!AY1))</f>
        <v/>
      </c>
      <c r="AZ6" s="504">
        <f>IF('ปฏิทิน'!AZ1="","",DAY('ปฏิทิน'!AZ1))</f>
        <v/>
      </c>
      <c r="BA6" s="504">
        <f>IF('ปฏิทิน'!BA1="","",DAY('ปฏิทิน'!BA1))</f>
        <v/>
      </c>
      <c r="BB6" s="504">
        <f>IF('ปฏิทิน'!BB1="","",DAY('ปฏิทิน'!BB1))</f>
        <v/>
      </c>
      <c r="BC6" s="504">
        <f>IF('ปฏิทิน'!BC1="","",DAY('ปฏิทิน'!BC1))</f>
        <v/>
      </c>
      <c r="BD6" s="504">
        <f>IF('ปฏิทิน'!BD1="","",DAY('ปฏิทิน'!BD1))</f>
        <v/>
      </c>
      <c r="BE6" s="504">
        <f>IF('ปฏิทิน'!BE1="","",DAY('ปฏิทิน'!BE1))</f>
        <v/>
      </c>
      <c r="BF6" s="504">
        <f>IF('ปฏิทิน'!BF1="","",DAY('ปฏิทิน'!BF1))</f>
        <v/>
      </c>
      <c r="BG6" s="504">
        <f>IF('ปฏิทิน'!BG1="","",DAY('ปฏิทิน'!BG1))</f>
        <v/>
      </c>
      <c r="BH6" s="504">
        <f>IF('ปฏิทิน'!BH1="","",DAY('ปฏิทิน'!BH1))</f>
        <v/>
      </c>
      <c r="BI6" s="504">
        <f>IF('ปฏิทิน'!BI1="","",DAY('ปฏิทิน'!BI1))</f>
        <v/>
      </c>
      <c r="BJ6" s="504">
        <f>IF('ปฏิทิน'!BJ1="","",DAY('ปฏิทิน'!BJ1))</f>
        <v/>
      </c>
      <c r="BK6" s="504">
        <f>IF('ปฏิทิน'!BK1="","",DAY('ปฏิทิน'!BK1))</f>
        <v/>
      </c>
      <c r="BL6" s="504">
        <f>IF('ปฏิทิน'!BL1="","",DAY('ปฏิทิน'!BL1))</f>
        <v/>
      </c>
      <c r="BM6" s="504">
        <f>IF('ปฏิทิน'!BM1="","",DAY('ปฏิทิน'!BM1))</f>
        <v/>
      </c>
      <c r="BN6" s="504">
        <f>IF('ปฏิทิน'!BN1="","",DAY('ปฏิทิน'!BN1))</f>
        <v/>
      </c>
      <c r="BO6" s="504">
        <f>IF('ปฏิทิน'!BO1="","",DAY('ปฏิทิน'!BO1))</f>
        <v/>
      </c>
      <c r="BP6" s="504">
        <f>IF('ปฏิทิน'!BP1="","",DAY('ปฏิทิน'!BP1))</f>
        <v/>
      </c>
      <c r="BQ6" s="508" t="inlineStr">
        <is>
          <t>หมด</t>
        </is>
      </c>
      <c r="BR6" s="509" t="inlineStr">
        <is>
          <t>เหลือ</t>
        </is>
      </c>
      <c r="BS6" s="510" t="inlineStr">
        <is>
          <t>ไม่
ทาน</t>
        </is>
      </c>
      <c r="BT6" s="507">
        <f>IF('ปฏิทิน'!BT1="","",DAY('ปฏิทิน'!BT1))</f>
        <v/>
      </c>
      <c r="BU6" s="504">
        <f>IF('ปฏิทิน'!BU1="","",DAY('ปฏิทิน'!BU1))</f>
        <v/>
      </c>
      <c r="BV6" s="504">
        <f>IF('ปฏิทิน'!BV1="","",DAY('ปฏิทิน'!BV1))</f>
        <v/>
      </c>
      <c r="BW6" s="504">
        <f>IF('ปฏิทิน'!BW1="","",DAY('ปฏิทิน'!BW1))</f>
        <v/>
      </c>
      <c r="BX6" s="504">
        <f>IF('ปฏิทิน'!BX1="","",DAY('ปฏิทิน'!BX1))</f>
        <v/>
      </c>
      <c r="BY6" s="504">
        <f>IF('ปฏิทิน'!BY1="","",DAY('ปฏิทิน'!BY1))</f>
        <v/>
      </c>
      <c r="BZ6" s="504">
        <f>IF('ปฏิทิน'!BZ1="","",DAY('ปฏิทิน'!BZ1))</f>
        <v/>
      </c>
      <c r="CA6" s="504">
        <f>IF('ปฏิทิน'!CA1="","",DAY('ปฏิทิน'!CA1))</f>
        <v/>
      </c>
      <c r="CB6" s="504">
        <f>IF('ปฏิทิน'!CB1="","",DAY('ปฏิทิน'!CB1))</f>
        <v/>
      </c>
      <c r="CC6" s="504">
        <f>IF('ปฏิทิน'!CC1="","",DAY('ปฏิทิน'!CC1))</f>
        <v/>
      </c>
      <c r="CD6" s="504">
        <f>IF('ปฏิทิน'!CD1="","",DAY('ปฏิทิน'!CD1))</f>
        <v/>
      </c>
      <c r="CE6" s="504">
        <f>IF('ปฏิทิน'!CE1="","",DAY('ปฏิทิน'!CE1))</f>
        <v/>
      </c>
      <c r="CF6" s="504">
        <f>IF('ปฏิทิน'!CF1="","",DAY('ปฏิทิน'!CF1))</f>
        <v/>
      </c>
      <c r="CG6" s="504">
        <f>IF('ปฏิทิน'!CG1="","",DAY('ปฏิทิน'!CG1))</f>
        <v/>
      </c>
      <c r="CH6" s="504">
        <f>IF('ปฏิทิน'!CH1="","",DAY('ปฏิทิน'!CH1))</f>
        <v/>
      </c>
      <c r="CI6" s="504">
        <f>IF('ปฏิทิน'!CI1="","",DAY('ปฏิทิน'!CI1))</f>
        <v/>
      </c>
      <c r="CJ6" s="504">
        <f>IF('ปฏิทิน'!CJ1="","",DAY('ปฏิทิน'!CJ1))</f>
        <v/>
      </c>
      <c r="CK6" s="504">
        <f>IF('ปฏิทิน'!CK1="","",DAY('ปฏิทิน'!CK1))</f>
        <v/>
      </c>
      <c r="CL6" s="504">
        <f>IF('ปฏิทิน'!CL1="","",DAY('ปฏิทิน'!CL1))</f>
        <v/>
      </c>
      <c r="CM6" s="504">
        <f>IF('ปฏิทิน'!CM1="","",DAY('ปฏิทิน'!CM1))</f>
        <v/>
      </c>
      <c r="CN6" s="504">
        <f>IF('ปฏิทิน'!CN1="","",DAY('ปฏิทิน'!CN1))</f>
        <v/>
      </c>
      <c r="CO6" s="504">
        <f>IF('ปฏิทิน'!CO1="","",DAY('ปฏิทิน'!CO1))</f>
        <v/>
      </c>
      <c r="CP6" s="504">
        <f>IF('ปฏิทิน'!CP1="","",DAY('ปฏิทิน'!CP1))</f>
        <v/>
      </c>
      <c r="CQ6" s="504">
        <f>IF('ปฏิทิน'!CQ1="","",DAY('ปฏิทิน'!CQ1))</f>
        <v/>
      </c>
      <c r="CR6" s="504">
        <f>IF('ปฏิทิน'!CR1="","",DAY('ปฏิทิน'!CR1))</f>
        <v/>
      </c>
      <c r="CS6" s="504">
        <f>IF('ปฏิทิน'!CS1="","",DAY('ปฏิทิน'!CS1))</f>
        <v/>
      </c>
      <c r="CT6" s="504">
        <f>IF('ปฏิทิน'!CT1="","",DAY('ปฏิทิน'!CT1))</f>
        <v/>
      </c>
      <c r="CU6" s="504">
        <f>IF('ปฏิทิน'!CU1="","",DAY('ปฏิทิน'!CU1))</f>
        <v/>
      </c>
      <c r="CV6" s="504">
        <f>IF('ปฏิทิน'!CV1="","",DAY('ปฏิทิน'!CV1))</f>
        <v/>
      </c>
      <c r="CW6" s="504">
        <f>IF('ปฏิทิน'!CW1="","",DAY('ปฏิทิน'!CW1))</f>
        <v/>
      </c>
      <c r="CX6" s="504">
        <f>IF('ปฏิทิน'!CX1="","",DAY('ปฏิทิน'!CX1))</f>
        <v/>
      </c>
      <c r="CY6" s="508" t="inlineStr">
        <is>
          <t>หมด</t>
        </is>
      </c>
      <c r="CZ6" s="509" t="inlineStr">
        <is>
          <t>เหลือ</t>
        </is>
      </c>
      <c r="DA6" s="510" t="inlineStr">
        <is>
          <t>ไม่
ทาน</t>
        </is>
      </c>
      <c r="DB6" s="507">
        <f>IF('ปฏิทิน'!DB1="","",DAY('ปฏิทิน'!DB1))</f>
        <v/>
      </c>
      <c r="DC6" s="504">
        <f>IF('ปฏิทิน'!DC1="","",DAY('ปฏิทิน'!DC1))</f>
        <v/>
      </c>
      <c r="DD6" s="504">
        <f>IF('ปฏิทิน'!DD1="","",DAY('ปฏิทิน'!DD1))</f>
        <v/>
      </c>
      <c r="DE6" s="504">
        <f>IF('ปฏิทิน'!DE1="","",DAY('ปฏิทิน'!DE1))</f>
        <v/>
      </c>
      <c r="DF6" s="504">
        <f>IF('ปฏิทิน'!DF1="","",DAY('ปฏิทิน'!DF1))</f>
        <v/>
      </c>
      <c r="DG6" s="504">
        <f>IF('ปฏิทิน'!DG1="","",DAY('ปฏิทิน'!DG1))</f>
        <v/>
      </c>
      <c r="DH6" s="504">
        <f>IF('ปฏิทิน'!DH1="","",DAY('ปฏิทิน'!DH1))</f>
        <v/>
      </c>
      <c r="DI6" s="504">
        <f>IF('ปฏิทิน'!DI1="","",DAY('ปฏิทิน'!DI1))</f>
        <v/>
      </c>
      <c r="DJ6" s="504">
        <f>IF('ปฏิทิน'!DJ1="","",DAY('ปฏิทิน'!DJ1))</f>
        <v/>
      </c>
      <c r="DK6" s="504">
        <f>IF('ปฏิทิน'!DK1="","",DAY('ปฏิทิน'!DK1))</f>
        <v/>
      </c>
      <c r="DL6" s="504">
        <f>IF('ปฏิทิน'!DL1="","",DAY('ปฏิทิน'!DL1))</f>
        <v/>
      </c>
      <c r="DM6" s="504">
        <f>IF('ปฏิทิน'!DM1="","",DAY('ปฏิทิน'!DM1))</f>
        <v/>
      </c>
      <c r="DN6" s="504">
        <f>IF('ปฏิทิน'!DN1="","",DAY('ปฏิทิน'!DN1))</f>
        <v/>
      </c>
      <c r="DO6" s="504">
        <f>IF('ปฏิทิน'!DO1="","",DAY('ปฏิทิน'!DO1))</f>
        <v/>
      </c>
      <c r="DP6" s="504">
        <f>IF('ปฏิทิน'!DP1="","",DAY('ปฏิทิน'!DP1))</f>
        <v/>
      </c>
      <c r="DQ6" s="504">
        <f>IF('ปฏิทิน'!DQ1="","",DAY('ปฏิทิน'!DQ1))</f>
        <v/>
      </c>
      <c r="DR6" s="504">
        <f>IF('ปฏิทิน'!DR1="","",DAY('ปฏิทิน'!DR1))</f>
        <v/>
      </c>
      <c r="DS6" s="504">
        <f>IF('ปฏิทิน'!DS1="","",DAY('ปฏิทิน'!DS1))</f>
        <v/>
      </c>
      <c r="DT6" s="504">
        <f>IF('ปฏิทิน'!DT1="","",DAY('ปฏิทิน'!DT1))</f>
        <v/>
      </c>
      <c r="DU6" s="504">
        <f>IF('ปฏิทิน'!DU1="","",DAY('ปฏิทิน'!DU1))</f>
        <v/>
      </c>
      <c r="DV6" s="504">
        <f>IF('ปฏิทิน'!DV1="","",DAY('ปฏิทิน'!DV1))</f>
        <v/>
      </c>
      <c r="DW6" s="504">
        <f>IF('ปฏิทิน'!DW1="","",DAY('ปฏิทิน'!DW1))</f>
        <v/>
      </c>
      <c r="DX6" s="504">
        <f>IF('ปฏิทิน'!DX1="","",DAY('ปฏิทิน'!DX1))</f>
        <v/>
      </c>
      <c r="DY6" s="504">
        <f>IF('ปฏิทิน'!DY1="","",DAY('ปฏิทิน'!DY1))</f>
        <v/>
      </c>
      <c r="DZ6" s="504">
        <f>IF('ปฏิทิน'!DZ1="","",DAY('ปฏิทิน'!DZ1))</f>
        <v/>
      </c>
      <c r="EA6" s="504">
        <f>IF('ปฏิทิน'!EA1="","",DAY('ปฏิทิน'!EA1))</f>
        <v/>
      </c>
      <c r="EB6" s="504">
        <f>IF('ปฏิทิน'!EB1="","",DAY('ปฏิทิน'!EB1))</f>
        <v/>
      </c>
      <c r="EC6" s="504">
        <f>IF('ปฏิทิน'!EC1="","",DAY('ปฏิทิน'!EC1))</f>
        <v/>
      </c>
      <c r="ED6" s="504">
        <f>IF('ปฏิทิน'!ED1="","",DAY('ปฏิทิน'!ED1))</f>
        <v/>
      </c>
      <c r="EE6" s="504">
        <f>IF('ปฏิทิน'!EE1="","",DAY('ปฏิทิน'!EE1))</f>
        <v/>
      </c>
      <c r="EF6" s="504">
        <f>IF('ปฏิทิน'!EF1="","",DAY('ปฏิทิน'!EF1))</f>
        <v/>
      </c>
      <c r="EG6" s="508" t="inlineStr">
        <is>
          <t>หมด</t>
        </is>
      </c>
      <c r="EH6" s="509" t="inlineStr">
        <is>
          <t>เหลือ</t>
        </is>
      </c>
      <c r="EI6" s="510" t="inlineStr">
        <is>
          <t>ไม่
ทาน</t>
        </is>
      </c>
      <c r="EJ6" s="507">
        <f>IF('ปฏิทิน'!EJ1="","",DAY('ปฏิทิน'!EJ1))</f>
        <v/>
      </c>
      <c r="EK6" s="504">
        <f>IF('ปฏิทิน'!EK1="","",DAY('ปฏิทิน'!EK1))</f>
        <v/>
      </c>
      <c r="EL6" s="504">
        <f>IF('ปฏิทิน'!EL1="","",DAY('ปฏิทิน'!EL1))</f>
        <v/>
      </c>
      <c r="EM6" s="504">
        <f>IF('ปฏิทิน'!EM1="","",DAY('ปฏิทิน'!EM1))</f>
        <v/>
      </c>
      <c r="EN6" s="504">
        <f>IF('ปฏิทิน'!EN1="","",DAY('ปฏิทิน'!EN1))</f>
        <v/>
      </c>
      <c r="EO6" s="504">
        <f>IF('ปฏิทิน'!EO1="","",DAY('ปฏิทิน'!EO1))</f>
        <v/>
      </c>
      <c r="EP6" s="504">
        <f>IF('ปฏิทิน'!EP1="","",DAY('ปฏิทิน'!EP1))</f>
        <v/>
      </c>
      <c r="EQ6" s="504">
        <f>IF('ปฏิทิน'!EQ1="","",DAY('ปฏิทิน'!EQ1))</f>
        <v/>
      </c>
      <c r="ER6" s="504">
        <f>IF('ปฏิทิน'!ER1="","",DAY('ปฏิทิน'!ER1))</f>
        <v/>
      </c>
      <c r="ES6" s="504">
        <f>IF('ปฏิทิน'!ES1="","",DAY('ปฏิทิน'!ES1))</f>
        <v/>
      </c>
      <c r="ET6" s="504">
        <f>IF('ปฏิทิน'!ET1="","",DAY('ปฏิทิน'!ET1))</f>
        <v/>
      </c>
      <c r="EU6" s="504">
        <f>IF('ปฏิทิน'!EU1="","",DAY('ปฏิทิน'!EU1))</f>
        <v/>
      </c>
      <c r="EV6" s="504">
        <f>IF('ปฏิทิน'!EV1="","",DAY('ปฏิทิน'!EV1))</f>
        <v/>
      </c>
      <c r="EW6" s="504">
        <f>IF('ปฏิทิน'!EW1="","",DAY('ปฏิทิน'!EW1))</f>
        <v/>
      </c>
      <c r="EX6" s="504">
        <f>IF('ปฏิทิน'!EX1="","",DAY('ปฏิทิน'!EX1))</f>
        <v/>
      </c>
      <c r="EY6" s="504">
        <f>IF('ปฏิทิน'!EY1="","",DAY('ปฏิทิน'!EY1))</f>
        <v/>
      </c>
      <c r="EZ6" s="504">
        <f>IF('ปฏิทิน'!EZ1="","",DAY('ปฏิทิน'!EZ1))</f>
        <v/>
      </c>
      <c r="FA6" s="504">
        <f>IF('ปฏิทิน'!FA1="","",DAY('ปฏิทิน'!FA1))</f>
        <v/>
      </c>
      <c r="FB6" s="504">
        <f>IF('ปฏิทิน'!FB1="","",DAY('ปฏิทิน'!FB1))</f>
        <v/>
      </c>
      <c r="FC6" s="504">
        <f>IF('ปฏิทิน'!FC1="","",DAY('ปฏิทิน'!FC1))</f>
        <v/>
      </c>
      <c r="FD6" s="504">
        <f>IF('ปฏิทิน'!FD1="","",DAY('ปฏิทิน'!FD1))</f>
        <v/>
      </c>
      <c r="FE6" s="504">
        <f>IF('ปฏิทิน'!FE1="","",DAY('ปฏิทิน'!FE1))</f>
        <v/>
      </c>
      <c r="FF6" s="504">
        <f>IF('ปฏิทิน'!FF1="","",DAY('ปฏิทิน'!FF1))</f>
        <v/>
      </c>
      <c r="FG6" s="504">
        <f>IF('ปฏิทิน'!FG1="","",DAY('ปฏิทิน'!FG1))</f>
        <v/>
      </c>
      <c r="FH6" s="504">
        <f>IF('ปฏิทิน'!FH1="","",DAY('ปฏิทิน'!FH1))</f>
        <v/>
      </c>
      <c r="FI6" s="504">
        <f>IF('ปฏิทิน'!FI1="","",DAY('ปฏิทิน'!FI1))</f>
        <v/>
      </c>
      <c r="FJ6" s="504">
        <f>IF('ปฏิทิน'!FJ1="","",DAY('ปฏิทิน'!FJ1))</f>
        <v/>
      </c>
      <c r="FK6" s="504">
        <f>IF('ปฏิทิน'!FK1="","",DAY('ปฏิทิน'!FK1))</f>
        <v/>
      </c>
      <c r="FL6" s="504">
        <f>IF('ปฏิทิน'!FL1="","",DAY('ปฏิทิน'!FL1))</f>
        <v/>
      </c>
      <c r="FM6" s="504">
        <f>IF('ปฏิทิน'!FM1="","",DAY('ปฏิทิน'!FM1))</f>
        <v/>
      </c>
      <c r="FN6" s="504">
        <f>IF('ปฏิทิน'!FN1="","",DAY('ปฏิทิน'!FN1))</f>
        <v/>
      </c>
      <c r="FO6" s="508" t="inlineStr">
        <is>
          <t>หมด</t>
        </is>
      </c>
      <c r="FP6" s="509" t="inlineStr">
        <is>
          <t>เหลือ</t>
        </is>
      </c>
      <c r="FQ6" s="510" t="inlineStr">
        <is>
          <t>ไม่
ทาน</t>
        </is>
      </c>
      <c r="FR6" s="507">
        <f>IF('ปฏิทิน'!FR1="","",DAY('ปฏิทิน'!FR1))</f>
        <v/>
      </c>
      <c r="FS6" s="504">
        <f>IF('ปฏิทิน'!FS1="","",DAY('ปฏิทิน'!FS1))</f>
        <v/>
      </c>
      <c r="FT6" s="504">
        <f>IF('ปฏิทิน'!FT1="","",DAY('ปฏิทิน'!FT1))</f>
        <v/>
      </c>
      <c r="FU6" s="504">
        <f>IF('ปฏิทิน'!FU1="","",DAY('ปฏิทิน'!FU1))</f>
        <v/>
      </c>
      <c r="FV6" s="504">
        <f>IF('ปฏิทิน'!FV1="","",DAY('ปฏิทิน'!FV1))</f>
        <v/>
      </c>
      <c r="FW6" s="504">
        <f>IF('ปฏิทิน'!FW1="","",DAY('ปฏิทิน'!FW1))</f>
        <v/>
      </c>
      <c r="FX6" s="504">
        <f>IF('ปฏิทิน'!FX1="","",DAY('ปฏิทิน'!FX1))</f>
        <v/>
      </c>
      <c r="FY6" s="504">
        <f>IF('ปฏิทิน'!FY1="","",DAY('ปฏิทิน'!FY1))</f>
        <v/>
      </c>
      <c r="FZ6" s="504">
        <f>IF('ปฏิทิน'!FZ1="","",DAY('ปฏิทิน'!FZ1))</f>
        <v/>
      </c>
      <c r="GA6" s="504">
        <f>IF('ปฏิทิน'!GA1="","",DAY('ปฏิทิน'!GA1))</f>
        <v/>
      </c>
      <c r="GB6" s="504">
        <f>IF('ปฏิทิน'!GB1="","",DAY('ปฏิทิน'!GB1))</f>
        <v/>
      </c>
      <c r="GC6" s="504">
        <f>IF('ปฏิทิน'!GC1="","",DAY('ปฏิทิน'!GC1))</f>
        <v/>
      </c>
      <c r="GD6" s="504">
        <f>IF('ปฏิทิน'!GD1="","",DAY('ปฏิทิน'!GD1))</f>
        <v/>
      </c>
      <c r="GE6" s="504">
        <f>IF('ปฏิทิน'!GE1="","",DAY('ปฏิทิน'!GE1))</f>
        <v/>
      </c>
      <c r="GF6" s="504">
        <f>IF('ปฏิทิน'!GF1="","",DAY('ปฏิทิน'!GF1))</f>
        <v/>
      </c>
      <c r="GG6" s="504">
        <f>IF('ปฏิทิน'!GG1="","",DAY('ปฏิทิน'!GG1))</f>
        <v/>
      </c>
      <c r="GH6" s="504">
        <f>IF('ปฏิทิน'!GH1="","",DAY('ปฏิทิน'!GH1))</f>
        <v/>
      </c>
      <c r="GI6" s="504">
        <f>IF('ปฏิทิน'!GI1="","",DAY('ปฏิทิน'!GI1))</f>
        <v/>
      </c>
      <c r="GJ6" s="504">
        <f>IF('ปฏิทิน'!GJ1="","",DAY('ปฏิทิน'!GJ1))</f>
        <v/>
      </c>
      <c r="GK6" s="504">
        <f>IF('ปฏิทิน'!GK1="","",DAY('ปฏิทิน'!GK1))</f>
        <v/>
      </c>
      <c r="GL6" s="504">
        <f>IF('ปฏิทิน'!GL1="","",DAY('ปฏิทิน'!GL1))</f>
        <v/>
      </c>
      <c r="GM6" s="504">
        <f>IF('ปฏิทิน'!GM1="","",DAY('ปฏิทิน'!GM1))</f>
        <v/>
      </c>
      <c r="GN6" s="504">
        <f>IF('ปฏิทิน'!GN1="","",DAY('ปฏิทิน'!GN1))</f>
        <v/>
      </c>
      <c r="GO6" s="504">
        <f>IF('ปฏิทิน'!GO1="","",DAY('ปฏิทิน'!GO1))</f>
        <v/>
      </c>
      <c r="GP6" s="504">
        <f>IF('ปฏิทิน'!GP1="","",DAY('ปฏิทิน'!GP1))</f>
        <v/>
      </c>
      <c r="GQ6" s="504">
        <f>IF('ปฏิทิน'!GQ1="","",DAY('ปฏิทิน'!GQ1))</f>
        <v/>
      </c>
      <c r="GR6" s="504">
        <f>IF('ปฏิทิน'!GR1="","",DAY('ปฏิทิน'!GR1))</f>
        <v/>
      </c>
      <c r="GS6" s="504">
        <f>IF('ปฏิทิน'!GS1="","",DAY('ปฏิทิน'!GS1))</f>
        <v/>
      </c>
      <c r="GT6" s="504">
        <f>IF('ปฏิทิน'!GT1="","",DAY('ปฏิทิน'!GT1))</f>
        <v/>
      </c>
      <c r="GU6" s="504">
        <f>IF('ปฏิทิน'!GU1="","",DAY('ปฏิทิน'!GU1))</f>
        <v/>
      </c>
      <c r="GV6" s="504">
        <f>IF('ปฏิทิน'!GV1="","",DAY('ปฏิทิน'!GV1))</f>
        <v/>
      </c>
      <c r="GW6" s="508" t="inlineStr">
        <is>
          <t>หมด</t>
        </is>
      </c>
      <c r="GX6" s="509" t="inlineStr">
        <is>
          <t>เหลือ</t>
        </is>
      </c>
      <c r="GY6" s="510" t="inlineStr">
        <is>
          <t>ไม่
ทาน</t>
        </is>
      </c>
    </row>
    <row r="7">
      <c r="D7" s="511">
        <f>IF('ปฏิทิน'!D1="","",CHOOSE(WEEKDAY('ปฏิทิน'!D1,2),"จ.","อ.","พ.","พฤ.","ศ.","ส.","อา."))</f>
        <v/>
      </c>
      <c r="E7" s="512">
        <f>IF('ปฏิทิน'!E1="","",CHOOSE(WEEKDAY('ปฏิทิน'!E1,2),"จ.","อ.","พ.","พฤ.","ศ.","ส.","อา."))</f>
        <v/>
      </c>
      <c r="F7" s="512">
        <f>IF('ปฏิทิน'!F1="","",CHOOSE(WEEKDAY('ปฏิทิน'!F1,2),"จ.","อ.","พ.","พฤ.","ศ.","ส.","อา."))</f>
        <v/>
      </c>
      <c r="G7" s="512">
        <f>IF('ปฏิทิน'!G1="","",CHOOSE(WEEKDAY('ปฏิทิน'!G1,2),"จ.","อ.","พ.","พฤ.","ศ.","ส.","อา."))</f>
        <v/>
      </c>
      <c r="H7" s="512">
        <f>IF('ปฏิทิน'!H1="","",CHOOSE(WEEKDAY('ปฏิทิน'!H1,2),"จ.","อ.","พ.","พฤ.","ศ.","ส.","อา."))</f>
        <v/>
      </c>
      <c r="I7" s="512">
        <f>IF('ปฏิทิน'!I1="","",CHOOSE(WEEKDAY('ปฏิทิน'!I1,2),"จ.","อ.","พ.","พฤ.","ศ.","ส.","อา."))</f>
        <v/>
      </c>
      <c r="J7" s="512">
        <f>IF('ปฏิทิน'!J1="","",CHOOSE(WEEKDAY('ปฏิทิน'!J1,2),"จ.","อ.","พ.","พฤ.","ศ.","ส.","อา."))</f>
        <v/>
      </c>
      <c r="K7" s="512">
        <f>IF('ปฏิทิน'!K1="","",CHOOSE(WEEKDAY('ปฏิทิน'!K1,2),"จ.","อ.","พ.","พฤ.","ศ.","ส.","อา."))</f>
        <v/>
      </c>
      <c r="L7" s="512">
        <f>IF('ปฏิทิน'!L1="","",CHOOSE(WEEKDAY('ปฏิทิน'!L1,2),"จ.","อ.","พ.","พฤ.","ศ.","ส.","อา."))</f>
        <v/>
      </c>
      <c r="M7" s="512">
        <f>IF('ปฏิทิน'!M1="","",CHOOSE(WEEKDAY('ปฏิทิน'!M1,2),"จ.","อ.","พ.","พฤ.","ศ.","ส.","อา."))</f>
        <v/>
      </c>
      <c r="N7" s="512">
        <f>IF('ปฏิทิน'!N1="","",CHOOSE(WEEKDAY('ปฏิทิน'!N1,2),"จ.","อ.","พ.","พฤ.","ศ.","ส.","อา."))</f>
        <v/>
      </c>
      <c r="O7" s="512">
        <f>IF('ปฏิทิน'!O1="","",CHOOSE(WEEKDAY('ปฏิทิน'!O1,2),"จ.","อ.","พ.","พฤ.","ศ.","ส.","อา."))</f>
        <v/>
      </c>
      <c r="P7" s="512">
        <f>IF('ปฏิทิน'!P1="","",CHOOSE(WEEKDAY('ปฏิทิน'!P1,2),"จ.","อ.","พ.","พฤ.","ศ.","ส.","อา."))</f>
        <v/>
      </c>
      <c r="Q7" s="512">
        <f>IF('ปฏิทิน'!Q1="","",CHOOSE(WEEKDAY('ปฏิทิน'!Q1,2),"จ.","อ.","พ.","พฤ.","ศ.","ส.","อา."))</f>
        <v/>
      </c>
      <c r="R7" s="512">
        <f>IF('ปฏิทิน'!R1="","",CHOOSE(WEEKDAY('ปฏิทิน'!R1,2),"จ.","อ.","พ.","พฤ.","ศ.","ส.","อา."))</f>
        <v/>
      </c>
      <c r="S7" s="512">
        <f>IF('ปฏิทิน'!S1="","",CHOOSE(WEEKDAY('ปฏิทิน'!S1,2),"จ.","อ.","พ.","พฤ.","ศ.","ส.","อา."))</f>
        <v/>
      </c>
      <c r="T7" s="512">
        <f>IF('ปฏิทิน'!T1="","",CHOOSE(WEEKDAY('ปฏิทิน'!T1,2),"จ.","อ.","พ.","พฤ.","ศ.","ส.","อา."))</f>
        <v/>
      </c>
      <c r="U7" s="512">
        <f>IF('ปฏิทิน'!U1="","",CHOOSE(WEEKDAY('ปฏิทิน'!U1,2),"จ.","อ.","พ.","พฤ.","ศ.","ส.","อา."))</f>
        <v/>
      </c>
      <c r="V7" s="512">
        <f>IF('ปฏิทิน'!V1="","",CHOOSE(WEEKDAY('ปฏิทิน'!V1,2),"จ.","อ.","พ.","พฤ.","ศ.","ส.","อา."))</f>
        <v/>
      </c>
      <c r="W7" s="512">
        <f>IF('ปฏิทิน'!W1="","",CHOOSE(WEEKDAY('ปฏิทิน'!W1,2),"จ.","อ.","พ.","พฤ.","ศ.","ส.","อา."))</f>
        <v/>
      </c>
      <c r="X7" s="512">
        <f>IF('ปฏิทิน'!X1="","",CHOOSE(WEEKDAY('ปฏิทิน'!X1,2),"จ.","อ.","พ.","พฤ.","ศ.","ส.","อา."))</f>
        <v/>
      </c>
      <c r="Y7" s="512">
        <f>IF('ปฏิทิน'!Y1="","",CHOOSE(WEEKDAY('ปฏิทิน'!Y1,2),"จ.","อ.","พ.","พฤ.","ศ.","ส.","อา."))</f>
        <v/>
      </c>
      <c r="Z7" s="512">
        <f>IF('ปฏิทิน'!Z1="","",CHOOSE(WEEKDAY('ปฏิทิน'!Z1,2),"จ.","อ.","พ.","พฤ.","ศ.","ส.","อา."))</f>
        <v/>
      </c>
      <c r="AA7" s="512">
        <f>IF('ปฏิทิน'!AA1="","",CHOOSE(WEEKDAY('ปฏิทิน'!AA1,2),"จ.","อ.","พ.","พฤ.","ศ.","ส.","อา."))</f>
        <v/>
      </c>
      <c r="AB7" s="512">
        <f>IF('ปฏิทิน'!AB1="","",CHOOSE(WEEKDAY('ปฏิทิน'!AB1,2),"จ.","อ.","พ.","พฤ.","ศ.","ส.","อา."))</f>
        <v/>
      </c>
      <c r="AC7" s="512">
        <f>IF('ปฏิทิน'!AC1="","",CHOOSE(WEEKDAY('ปฏิทิน'!AC1,2),"จ.","อ.","พ.","พฤ.","ศ.","ส.","อา."))</f>
        <v/>
      </c>
      <c r="AD7" s="512">
        <f>IF('ปฏิทิน'!AD1="","",CHOOSE(WEEKDAY('ปฏิทิน'!AD1,2),"จ.","อ.","พ.","พฤ.","ศ.","ส.","อา."))</f>
        <v/>
      </c>
      <c r="AE7" s="512">
        <f>IF('ปฏิทิน'!AE1="","",CHOOSE(WEEKDAY('ปฏิทิน'!AE1,2),"จ.","อ.","พ.","พฤ.","ศ.","ส.","อา."))</f>
        <v/>
      </c>
      <c r="AF7" s="512">
        <f>IF('ปฏิทิน'!AF1="","",CHOOSE(WEEKDAY('ปฏิทิน'!AF1,2),"จ.","อ.","พ.","พฤ.","ศ.","ส.","อา."))</f>
        <v/>
      </c>
      <c r="AG7" s="512">
        <f>IF('ปฏิทิน'!AG1="","",CHOOSE(WEEKDAY('ปฏิทิน'!AG1,2),"จ.","อ.","พ.","พฤ.","ศ.","ส.","อา."))</f>
        <v/>
      </c>
      <c r="AH7" s="512">
        <f>IF('ปฏิทิน'!AH1="","",CHOOSE(WEEKDAY('ปฏิทิน'!AH1,2),"จ.","อ.","พ.","พฤ.","ศ.","ส.","อา."))</f>
        <v/>
      </c>
      <c r="AI7" s="513" t="n"/>
      <c r="AL7" s="511">
        <f>IF('ปฏิทิน'!AL1="","",CHOOSE(WEEKDAY('ปฏิทิน'!AL1,2),"จ.","อ.","พ.","พฤ.","ศ.","ส.","อา."))</f>
        <v/>
      </c>
      <c r="AM7" s="512">
        <f>IF('ปฏิทิน'!AM1="","",CHOOSE(WEEKDAY('ปฏิทิน'!AM1,2),"จ.","อ.","พ.","พฤ.","ศ.","ส.","อา."))</f>
        <v/>
      </c>
      <c r="AN7" s="512">
        <f>IF('ปฏิทิน'!AN1="","",CHOOSE(WEEKDAY('ปฏิทิน'!AN1,2),"จ.","อ.","พ.","พฤ.","ศ.","ส.","อา."))</f>
        <v/>
      </c>
      <c r="AO7" s="512">
        <f>IF('ปฏิทิน'!AO1="","",CHOOSE(WEEKDAY('ปฏิทิน'!AO1,2),"จ.","อ.","พ.","พฤ.","ศ.","ส.","อา."))</f>
        <v/>
      </c>
      <c r="AP7" s="512">
        <f>IF('ปฏิทิน'!AP1="","",CHOOSE(WEEKDAY('ปฏิทิน'!AP1,2),"จ.","อ.","พ.","พฤ.","ศ.","ส.","อา."))</f>
        <v/>
      </c>
      <c r="AQ7" s="512">
        <f>IF('ปฏิทิน'!AQ1="","",CHOOSE(WEEKDAY('ปฏิทิน'!AQ1,2),"จ.","อ.","พ.","พฤ.","ศ.","ส.","อา."))</f>
        <v/>
      </c>
      <c r="AR7" s="512">
        <f>IF('ปฏิทิน'!AR1="","",CHOOSE(WEEKDAY('ปฏิทิน'!AR1,2),"จ.","อ.","พ.","พฤ.","ศ.","ส.","อา."))</f>
        <v/>
      </c>
      <c r="AS7" s="512">
        <f>IF('ปฏิทิน'!AS1="","",CHOOSE(WEEKDAY('ปฏิทิน'!AS1,2),"จ.","อ.","พ.","พฤ.","ศ.","ส.","อา."))</f>
        <v/>
      </c>
      <c r="AT7" s="512">
        <f>IF('ปฏิทิน'!AT1="","",CHOOSE(WEEKDAY('ปฏิทิน'!AT1,2),"จ.","อ.","พ.","พฤ.","ศ.","ส.","อา."))</f>
        <v/>
      </c>
      <c r="AU7" s="512">
        <f>IF('ปฏิทิน'!AU1="","",CHOOSE(WEEKDAY('ปฏิทิน'!AU1,2),"จ.","อ.","พ.","พฤ.","ศ.","ส.","อา."))</f>
        <v/>
      </c>
      <c r="AV7" s="512">
        <f>IF('ปฏิทิน'!AV1="","",CHOOSE(WEEKDAY('ปฏิทิน'!AV1,2),"จ.","อ.","พ.","พฤ.","ศ.","ส.","อา."))</f>
        <v/>
      </c>
      <c r="AW7" s="512">
        <f>IF('ปฏิทิน'!AW1="","",CHOOSE(WEEKDAY('ปฏิทิน'!AW1,2),"จ.","อ.","พ.","พฤ.","ศ.","ส.","อา."))</f>
        <v/>
      </c>
      <c r="AX7" s="512">
        <f>IF('ปฏิทิน'!AX1="","",CHOOSE(WEEKDAY('ปฏิทิน'!AX1,2),"จ.","อ.","พ.","พฤ.","ศ.","ส.","อา."))</f>
        <v/>
      </c>
      <c r="AY7" s="512">
        <f>IF('ปฏิทิน'!AY1="","",CHOOSE(WEEKDAY('ปฏิทิน'!AY1,2),"จ.","อ.","พ.","พฤ.","ศ.","ส.","อา."))</f>
        <v/>
      </c>
      <c r="AZ7" s="512">
        <f>IF('ปฏิทิน'!AZ1="","",CHOOSE(WEEKDAY('ปฏิทิน'!AZ1,2),"จ.","อ.","พ.","พฤ.","ศ.","ส.","อา."))</f>
        <v/>
      </c>
      <c r="BA7" s="512">
        <f>IF('ปฏิทิน'!BA1="","",CHOOSE(WEEKDAY('ปฏิทิน'!BA1,2),"จ.","อ.","พ.","พฤ.","ศ.","ส.","อา."))</f>
        <v/>
      </c>
      <c r="BB7" s="512">
        <f>IF('ปฏิทิน'!BB1="","",CHOOSE(WEEKDAY('ปฏิทิน'!BB1,2),"จ.","อ.","พ.","พฤ.","ศ.","ส.","อา."))</f>
        <v/>
      </c>
      <c r="BC7" s="512">
        <f>IF('ปฏิทิน'!BC1="","",CHOOSE(WEEKDAY('ปฏิทิน'!BC1,2),"จ.","อ.","พ.","พฤ.","ศ.","ส.","อา."))</f>
        <v/>
      </c>
      <c r="BD7" s="512">
        <f>IF('ปฏิทิน'!BD1="","",CHOOSE(WEEKDAY('ปฏิทิน'!BD1,2),"จ.","อ.","พ.","พฤ.","ศ.","ส.","อา."))</f>
        <v/>
      </c>
      <c r="BE7" s="512">
        <f>IF('ปฏิทิน'!BE1="","",CHOOSE(WEEKDAY('ปฏิทิน'!BE1,2),"จ.","อ.","พ.","พฤ.","ศ.","ส.","อา."))</f>
        <v/>
      </c>
      <c r="BF7" s="512">
        <f>IF('ปฏิทิน'!BF1="","",CHOOSE(WEEKDAY('ปฏิทิน'!BF1,2),"จ.","อ.","พ.","พฤ.","ศ.","ส.","อา."))</f>
        <v/>
      </c>
      <c r="BG7" s="512">
        <f>IF('ปฏิทิน'!BG1="","",CHOOSE(WEEKDAY('ปฏิทิน'!BG1,2),"จ.","อ.","พ.","พฤ.","ศ.","ส.","อา."))</f>
        <v/>
      </c>
      <c r="BH7" s="512">
        <f>IF('ปฏิทิน'!BH1="","",CHOOSE(WEEKDAY('ปฏิทิน'!BH1,2),"จ.","อ.","พ.","พฤ.","ศ.","ส.","อา."))</f>
        <v/>
      </c>
      <c r="BI7" s="512">
        <f>IF('ปฏิทิน'!BI1="","",CHOOSE(WEEKDAY('ปฏิทิน'!BI1,2),"จ.","อ.","พ.","พฤ.","ศ.","ส.","อา."))</f>
        <v/>
      </c>
      <c r="BJ7" s="512">
        <f>IF('ปฏิทิน'!BJ1="","",CHOOSE(WEEKDAY('ปฏิทิน'!BJ1,2),"จ.","อ.","พ.","พฤ.","ศ.","ส.","อา."))</f>
        <v/>
      </c>
      <c r="BK7" s="512">
        <f>IF('ปฏิทิน'!BK1="","",CHOOSE(WEEKDAY('ปฏิทิน'!BK1,2),"จ.","อ.","พ.","พฤ.","ศ.","ส.","อา."))</f>
        <v/>
      </c>
      <c r="BL7" s="512">
        <f>IF('ปฏิทิน'!BL1="","",CHOOSE(WEEKDAY('ปฏิทิน'!BL1,2),"จ.","อ.","พ.","พฤ.","ศ.","ส.","อา."))</f>
        <v/>
      </c>
      <c r="BM7" s="512">
        <f>IF('ปฏิทิน'!BM1="","",CHOOSE(WEEKDAY('ปฏิทิน'!BM1,2),"จ.","อ.","พ.","พฤ.","ศ.","ส.","อา."))</f>
        <v/>
      </c>
      <c r="BN7" s="512">
        <f>IF('ปฏิทิน'!BN1="","",CHOOSE(WEEKDAY('ปฏิทิน'!BN1,2),"จ.","อ.","พ.","พฤ.","ศ.","ส.","อา."))</f>
        <v/>
      </c>
      <c r="BO7" s="512">
        <f>IF('ปฏิทิน'!BO1="","",CHOOSE(WEEKDAY('ปฏิทิน'!BO1,2),"จ.","อ.","พ.","พฤ.","ศ.","ส.","อา."))</f>
        <v/>
      </c>
      <c r="BP7" s="512">
        <f>IF('ปฏิทิน'!BP1="","",CHOOSE(WEEKDAY('ปฏิทิน'!BP1,2),"จ.","อ.","พ.","พฤ.","ศ.","ส.","อา."))</f>
        <v/>
      </c>
      <c r="BQ7" s="513" t="n"/>
      <c r="BT7" s="511">
        <f>IF('ปฏิทิน'!BT1="","",CHOOSE(WEEKDAY('ปฏิทิน'!BT1,2),"จ.","อ.","พ.","พฤ.","ศ.","ส.","อา."))</f>
        <v/>
      </c>
      <c r="BU7" s="512">
        <f>IF('ปฏิทิน'!BU1="","",CHOOSE(WEEKDAY('ปฏิทิน'!BU1,2),"จ.","อ.","พ.","พฤ.","ศ.","ส.","อา."))</f>
        <v/>
      </c>
      <c r="BV7" s="512">
        <f>IF('ปฏิทิน'!BV1="","",CHOOSE(WEEKDAY('ปฏิทิน'!BV1,2),"จ.","อ.","พ.","พฤ.","ศ.","ส.","อา."))</f>
        <v/>
      </c>
      <c r="BW7" s="512">
        <f>IF('ปฏิทิน'!BW1="","",CHOOSE(WEEKDAY('ปฏิทิน'!BW1,2),"จ.","อ.","พ.","พฤ.","ศ.","ส.","อา."))</f>
        <v/>
      </c>
      <c r="BX7" s="512">
        <f>IF('ปฏิทิน'!BX1="","",CHOOSE(WEEKDAY('ปฏิทิน'!BX1,2),"จ.","อ.","พ.","พฤ.","ศ.","ส.","อา."))</f>
        <v/>
      </c>
      <c r="BY7" s="512">
        <f>IF('ปฏิทิน'!BY1="","",CHOOSE(WEEKDAY('ปฏิทิน'!BY1,2),"จ.","อ.","พ.","พฤ.","ศ.","ส.","อา."))</f>
        <v/>
      </c>
      <c r="BZ7" s="512">
        <f>IF('ปฏิทิน'!BZ1="","",CHOOSE(WEEKDAY('ปฏิทิน'!BZ1,2),"จ.","อ.","พ.","พฤ.","ศ.","ส.","อา."))</f>
        <v/>
      </c>
      <c r="CA7" s="512">
        <f>IF('ปฏิทิน'!CA1="","",CHOOSE(WEEKDAY('ปฏิทิน'!CA1,2),"จ.","อ.","พ.","พฤ.","ศ.","ส.","อา."))</f>
        <v/>
      </c>
      <c r="CB7" s="512">
        <f>IF('ปฏิทิน'!CB1="","",CHOOSE(WEEKDAY('ปฏิทิน'!CB1,2),"จ.","อ.","พ.","พฤ.","ศ.","ส.","อา."))</f>
        <v/>
      </c>
      <c r="CC7" s="512">
        <f>IF('ปฏิทิน'!CC1="","",CHOOSE(WEEKDAY('ปฏิทิน'!CC1,2),"จ.","อ.","พ.","พฤ.","ศ.","ส.","อา."))</f>
        <v/>
      </c>
      <c r="CD7" s="512">
        <f>IF('ปฏิทิน'!CD1="","",CHOOSE(WEEKDAY('ปฏิทิน'!CD1,2),"จ.","อ.","พ.","พฤ.","ศ.","ส.","อา."))</f>
        <v/>
      </c>
      <c r="CE7" s="512">
        <f>IF('ปฏิทิน'!CE1="","",CHOOSE(WEEKDAY('ปฏิทิน'!CE1,2),"จ.","อ.","พ.","พฤ.","ศ.","ส.","อา."))</f>
        <v/>
      </c>
      <c r="CF7" s="512">
        <f>IF('ปฏิทิน'!CF1="","",CHOOSE(WEEKDAY('ปฏิทิน'!CF1,2),"จ.","อ.","พ.","พฤ.","ศ.","ส.","อา."))</f>
        <v/>
      </c>
      <c r="CG7" s="512">
        <f>IF('ปฏิทิน'!CG1="","",CHOOSE(WEEKDAY('ปฏิทิน'!CG1,2),"จ.","อ.","พ.","พฤ.","ศ.","ส.","อา."))</f>
        <v/>
      </c>
      <c r="CH7" s="512">
        <f>IF('ปฏิทิน'!CH1="","",CHOOSE(WEEKDAY('ปฏิทิน'!CH1,2),"จ.","อ.","พ.","พฤ.","ศ.","ส.","อา."))</f>
        <v/>
      </c>
      <c r="CI7" s="512">
        <f>IF('ปฏิทิน'!CI1="","",CHOOSE(WEEKDAY('ปฏิทิน'!CI1,2),"จ.","อ.","พ.","พฤ.","ศ.","ส.","อา."))</f>
        <v/>
      </c>
      <c r="CJ7" s="512">
        <f>IF('ปฏิทิน'!CJ1="","",CHOOSE(WEEKDAY('ปฏิทิน'!CJ1,2),"จ.","อ.","พ.","พฤ.","ศ.","ส.","อา."))</f>
        <v/>
      </c>
      <c r="CK7" s="512">
        <f>IF('ปฏิทิน'!CK1="","",CHOOSE(WEEKDAY('ปฏิทิน'!CK1,2),"จ.","อ.","พ.","พฤ.","ศ.","ส.","อา."))</f>
        <v/>
      </c>
      <c r="CL7" s="512">
        <f>IF('ปฏิทิน'!CL1="","",CHOOSE(WEEKDAY('ปฏิทิน'!CL1,2),"จ.","อ.","พ.","พฤ.","ศ.","ส.","อา."))</f>
        <v/>
      </c>
      <c r="CM7" s="512">
        <f>IF('ปฏิทิน'!CM1="","",CHOOSE(WEEKDAY('ปฏิทิน'!CM1,2),"จ.","อ.","พ.","พฤ.","ศ.","ส.","อา."))</f>
        <v/>
      </c>
      <c r="CN7" s="512">
        <f>IF('ปฏิทิน'!CN1="","",CHOOSE(WEEKDAY('ปฏิทิน'!CN1,2),"จ.","อ.","พ.","พฤ.","ศ.","ส.","อา."))</f>
        <v/>
      </c>
      <c r="CO7" s="512">
        <f>IF('ปฏิทิน'!CO1="","",CHOOSE(WEEKDAY('ปฏิทิน'!CO1,2),"จ.","อ.","พ.","พฤ.","ศ.","ส.","อา."))</f>
        <v/>
      </c>
      <c r="CP7" s="512">
        <f>IF('ปฏิทิน'!CP1="","",CHOOSE(WEEKDAY('ปฏิทิน'!CP1,2),"จ.","อ.","พ.","พฤ.","ศ.","ส.","อา."))</f>
        <v/>
      </c>
      <c r="CQ7" s="512">
        <f>IF('ปฏิทิน'!CQ1="","",CHOOSE(WEEKDAY('ปฏิทิน'!CQ1,2),"จ.","อ.","พ.","พฤ.","ศ.","ส.","อา."))</f>
        <v/>
      </c>
      <c r="CR7" s="512">
        <f>IF('ปฏิทิน'!CR1="","",CHOOSE(WEEKDAY('ปฏิทิน'!CR1,2),"จ.","อ.","พ.","พฤ.","ศ.","ส.","อา."))</f>
        <v/>
      </c>
      <c r="CS7" s="512">
        <f>IF('ปฏิทิน'!CS1="","",CHOOSE(WEEKDAY('ปฏิทิน'!CS1,2),"จ.","อ.","พ.","พฤ.","ศ.","ส.","อา."))</f>
        <v/>
      </c>
      <c r="CT7" s="512">
        <f>IF('ปฏิทิน'!CT1="","",CHOOSE(WEEKDAY('ปฏิทิน'!CT1,2),"จ.","อ.","พ.","พฤ.","ศ.","ส.","อา."))</f>
        <v/>
      </c>
      <c r="CU7" s="512">
        <f>IF('ปฏิทิน'!CU1="","",CHOOSE(WEEKDAY('ปฏิทิน'!CU1,2),"จ.","อ.","พ.","พฤ.","ศ.","ส.","อา."))</f>
        <v/>
      </c>
      <c r="CV7" s="512">
        <f>IF('ปฏิทิน'!CV1="","",CHOOSE(WEEKDAY('ปฏิทิน'!CV1,2),"จ.","อ.","พ.","พฤ.","ศ.","ส.","อา."))</f>
        <v/>
      </c>
      <c r="CW7" s="512">
        <f>IF('ปฏิทิน'!CW1="","",CHOOSE(WEEKDAY('ปฏิทิน'!CW1,2),"จ.","อ.","พ.","พฤ.","ศ.","ส.","อา."))</f>
        <v/>
      </c>
      <c r="CX7" s="512">
        <f>IF('ปฏิทิน'!CX1="","",CHOOSE(WEEKDAY('ปฏิทิน'!CX1,2),"จ.","อ.","พ.","พฤ.","ศ.","ส.","อา."))</f>
        <v/>
      </c>
      <c r="CY7" s="513" t="n"/>
      <c r="DB7" s="511">
        <f>IF('ปฏิทิน'!DB1="","",CHOOSE(WEEKDAY('ปฏิทิน'!DB1,2),"จ.","อ.","พ.","พฤ.","ศ.","ส.","อา."))</f>
        <v/>
      </c>
      <c r="DC7" s="512">
        <f>IF('ปฏิทิน'!DC1="","",CHOOSE(WEEKDAY('ปฏิทิน'!DC1,2),"จ.","อ.","พ.","พฤ.","ศ.","ส.","อา."))</f>
        <v/>
      </c>
      <c r="DD7" s="512">
        <f>IF('ปฏิทิน'!DD1="","",CHOOSE(WEEKDAY('ปฏิทิน'!DD1,2),"จ.","อ.","พ.","พฤ.","ศ.","ส.","อา."))</f>
        <v/>
      </c>
      <c r="DE7" s="512">
        <f>IF('ปฏิทิน'!DE1="","",CHOOSE(WEEKDAY('ปฏิทิน'!DE1,2),"จ.","อ.","พ.","พฤ.","ศ.","ส.","อา."))</f>
        <v/>
      </c>
      <c r="DF7" s="512">
        <f>IF('ปฏิทิน'!DF1="","",CHOOSE(WEEKDAY('ปฏิทิน'!DF1,2),"จ.","อ.","พ.","พฤ.","ศ.","ส.","อา."))</f>
        <v/>
      </c>
      <c r="DG7" s="512">
        <f>IF('ปฏิทิน'!DG1="","",CHOOSE(WEEKDAY('ปฏิทิน'!DG1,2),"จ.","อ.","พ.","พฤ.","ศ.","ส.","อา."))</f>
        <v/>
      </c>
      <c r="DH7" s="512">
        <f>IF('ปฏิทิน'!DH1="","",CHOOSE(WEEKDAY('ปฏิทิน'!DH1,2),"จ.","อ.","พ.","พฤ.","ศ.","ส.","อา."))</f>
        <v/>
      </c>
      <c r="DI7" s="512">
        <f>IF('ปฏิทิน'!DI1="","",CHOOSE(WEEKDAY('ปฏิทิน'!DI1,2),"จ.","อ.","พ.","พฤ.","ศ.","ส.","อา."))</f>
        <v/>
      </c>
      <c r="DJ7" s="512">
        <f>IF('ปฏิทิน'!DJ1="","",CHOOSE(WEEKDAY('ปฏิทิน'!DJ1,2),"จ.","อ.","พ.","พฤ.","ศ.","ส.","อา."))</f>
        <v/>
      </c>
      <c r="DK7" s="512">
        <f>IF('ปฏิทิน'!DK1="","",CHOOSE(WEEKDAY('ปฏิทิน'!DK1,2),"จ.","อ.","พ.","พฤ.","ศ.","ส.","อา."))</f>
        <v/>
      </c>
      <c r="DL7" s="512">
        <f>IF('ปฏิทิน'!DL1="","",CHOOSE(WEEKDAY('ปฏิทิน'!DL1,2),"จ.","อ.","พ.","พฤ.","ศ.","ส.","อา."))</f>
        <v/>
      </c>
      <c r="DM7" s="512">
        <f>IF('ปฏิทิน'!DM1="","",CHOOSE(WEEKDAY('ปฏิทิน'!DM1,2),"จ.","อ.","พ.","พฤ.","ศ.","ส.","อา."))</f>
        <v/>
      </c>
      <c r="DN7" s="512">
        <f>IF('ปฏิทิน'!DN1="","",CHOOSE(WEEKDAY('ปฏิทิน'!DN1,2),"จ.","อ.","พ.","พฤ.","ศ.","ส.","อา."))</f>
        <v/>
      </c>
      <c r="DO7" s="512">
        <f>IF('ปฏิทิน'!DO1="","",CHOOSE(WEEKDAY('ปฏิทิน'!DO1,2),"จ.","อ.","พ.","พฤ.","ศ.","ส.","อา."))</f>
        <v/>
      </c>
      <c r="DP7" s="512">
        <f>IF('ปฏิทิน'!DP1="","",CHOOSE(WEEKDAY('ปฏิทิน'!DP1,2),"จ.","อ.","พ.","พฤ.","ศ.","ส.","อา."))</f>
        <v/>
      </c>
      <c r="DQ7" s="512">
        <f>IF('ปฏิทิน'!DQ1="","",CHOOSE(WEEKDAY('ปฏิทิน'!DQ1,2),"จ.","อ.","พ.","พฤ.","ศ.","ส.","อา."))</f>
        <v/>
      </c>
      <c r="DR7" s="512">
        <f>IF('ปฏิทิน'!DR1="","",CHOOSE(WEEKDAY('ปฏิทิน'!DR1,2),"จ.","อ.","พ.","พฤ.","ศ.","ส.","อา."))</f>
        <v/>
      </c>
      <c r="DS7" s="512">
        <f>IF('ปฏิทิน'!DS1="","",CHOOSE(WEEKDAY('ปฏิทิน'!DS1,2),"จ.","อ.","พ.","พฤ.","ศ.","ส.","อา."))</f>
        <v/>
      </c>
      <c r="DT7" s="512">
        <f>IF('ปฏิทิน'!DT1="","",CHOOSE(WEEKDAY('ปฏิทิน'!DT1,2),"จ.","อ.","พ.","พฤ.","ศ.","ส.","อา."))</f>
        <v/>
      </c>
      <c r="DU7" s="512">
        <f>IF('ปฏิทิน'!DU1="","",CHOOSE(WEEKDAY('ปฏิทิน'!DU1,2),"จ.","อ.","พ.","พฤ.","ศ.","ส.","อา."))</f>
        <v/>
      </c>
      <c r="DV7" s="512">
        <f>IF('ปฏิทิน'!DV1="","",CHOOSE(WEEKDAY('ปฏิทิน'!DV1,2),"จ.","อ.","พ.","พฤ.","ศ.","ส.","อา."))</f>
        <v/>
      </c>
      <c r="DW7" s="512">
        <f>IF('ปฏิทิน'!DW1="","",CHOOSE(WEEKDAY('ปฏิทิน'!DW1,2),"จ.","อ.","พ.","พฤ.","ศ.","ส.","อา."))</f>
        <v/>
      </c>
      <c r="DX7" s="512">
        <f>IF('ปฏิทิน'!DX1="","",CHOOSE(WEEKDAY('ปฏิทิน'!DX1,2),"จ.","อ.","พ.","พฤ.","ศ.","ส.","อา."))</f>
        <v/>
      </c>
      <c r="DY7" s="512">
        <f>IF('ปฏิทิน'!DY1="","",CHOOSE(WEEKDAY('ปฏิทิน'!DY1,2),"จ.","อ.","พ.","พฤ.","ศ.","ส.","อา."))</f>
        <v/>
      </c>
      <c r="DZ7" s="512">
        <f>IF('ปฏิทิน'!DZ1="","",CHOOSE(WEEKDAY('ปฏิทิน'!DZ1,2),"จ.","อ.","พ.","พฤ.","ศ.","ส.","อา."))</f>
        <v/>
      </c>
      <c r="EA7" s="512">
        <f>IF('ปฏิทิน'!EA1="","",CHOOSE(WEEKDAY('ปฏิทิน'!EA1,2),"จ.","อ.","พ.","พฤ.","ศ.","ส.","อา."))</f>
        <v/>
      </c>
      <c r="EB7" s="512">
        <f>IF('ปฏิทิน'!EB1="","",CHOOSE(WEEKDAY('ปฏิทิน'!EB1,2),"จ.","อ.","พ.","พฤ.","ศ.","ส.","อา."))</f>
        <v/>
      </c>
      <c r="EC7" s="512">
        <f>IF('ปฏิทิน'!EC1="","",CHOOSE(WEEKDAY('ปฏิทิน'!EC1,2),"จ.","อ.","พ.","พฤ.","ศ.","ส.","อา."))</f>
        <v/>
      </c>
      <c r="ED7" s="512">
        <f>IF('ปฏิทิน'!ED1="","",CHOOSE(WEEKDAY('ปฏิทิน'!ED1,2),"จ.","อ.","พ.","พฤ.","ศ.","ส.","อา."))</f>
        <v/>
      </c>
      <c r="EE7" s="512">
        <f>IF('ปฏิทิน'!EE1="","",CHOOSE(WEEKDAY('ปฏิทิน'!EE1,2),"จ.","อ.","พ.","พฤ.","ศ.","ส.","อา."))</f>
        <v/>
      </c>
      <c r="EF7" s="512">
        <f>IF('ปฏิทิน'!EF1="","",CHOOSE(WEEKDAY('ปฏิทิน'!EF1,2),"จ.","อ.","พ.","พฤ.","ศ.","ส.","อา."))</f>
        <v/>
      </c>
      <c r="EG7" s="513" t="n"/>
      <c r="EJ7" s="511">
        <f>IF('ปฏิทิน'!EJ1="","",CHOOSE(WEEKDAY('ปฏิทิน'!EJ1,2),"จ.","อ.","พ.","พฤ.","ศ.","ส.","อา."))</f>
        <v/>
      </c>
      <c r="EK7" s="512">
        <f>IF('ปฏิทิน'!EK1="","",CHOOSE(WEEKDAY('ปฏิทิน'!EK1,2),"จ.","อ.","พ.","พฤ.","ศ.","ส.","อา."))</f>
        <v/>
      </c>
      <c r="EL7" s="512">
        <f>IF('ปฏิทิน'!EL1="","",CHOOSE(WEEKDAY('ปฏิทิน'!EL1,2),"จ.","อ.","พ.","พฤ.","ศ.","ส.","อา."))</f>
        <v/>
      </c>
      <c r="EM7" s="512">
        <f>IF('ปฏิทิน'!EM1="","",CHOOSE(WEEKDAY('ปฏิทิน'!EM1,2),"จ.","อ.","พ.","พฤ.","ศ.","ส.","อา."))</f>
        <v/>
      </c>
      <c r="EN7" s="512">
        <f>IF('ปฏิทิน'!EN1="","",CHOOSE(WEEKDAY('ปฏิทิน'!EN1,2),"จ.","อ.","พ.","พฤ.","ศ.","ส.","อา."))</f>
        <v/>
      </c>
      <c r="EO7" s="512">
        <f>IF('ปฏิทิน'!EO1="","",CHOOSE(WEEKDAY('ปฏิทิน'!EO1,2),"จ.","อ.","พ.","พฤ.","ศ.","ส.","อา."))</f>
        <v/>
      </c>
      <c r="EP7" s="512">
        <f>IF('ปฏิทิน'!EP1="","",CHOOSE(WEEKDAY('ปฏิทิน'!EP1,2),"จ.","อ.","พ.","พฤ.","ศ.","ส.","อา."))</f>
        <v/>
      </c>
      <c r="EQ7" s="512">
        <f>IF('ปฏิทิน'!EQ1="","",CHOOSE(WEEKDAY('ปฏิทิน'!EQ1,2),"จ.","อ.","พ.","พฤ.","ศ.","ส.","อา."))</f>
        <v/>
      </c>
      <c r="ER7" s="512">
        <f>IF('ปฏิทิน'!ER1="","",CHOOSE(WEEKDAY('ปฏิทิน'!ER1,2),"จ.","อ.","พ.","พฤ.","ศ.","ส.","อา."))</f>
        <v/>
      </c>
      <c r="ES7" s="512">
        <f>IF('ปฏิทิน'!ES1="","",CHOOSE(WEEKDAY('ปฏิทิน'!ES1,2),"จ.","อ.","พ.","พฤ.","ศ.","ส.","อา."))</f>
        <v/>
      </c>
      <c r="ET7" s="512">
        <f>IF('ปฏิทิน'!ET1="","",CHOOSE(WEEKDAY('ปฏิทิน'!ET1,2),"จ.","อ.","พ.","พฤ.","ศ.","ส.","อา."))</f>
        <v/>
      </c>
      <c r="EU7" s="512">
        <f>IF('ปฏิทิน'!EU1="","",CHOOSE(WEEKDAY('ปฏิทิน'!EU1,2),"จ.","อ.","พ.","พฤ.","ศ.","ส.","อา."))</f>
        <v/>
      </c>
      <c r="EV7" s="512">
        <f>IF('ปฏิทิน'!EV1="","",CHOOSE(WEEKDAY('ปฏิทิน'!EV1,2),"จ.","อ.","พ.","พฤ.","ศ.","ส.","อา."))</f>
        <v/>
      </c>
      <c r="EW7" s="512">
        <f>IF('ปฏิทิน'!EW1="","",CHOOSE(WEEKDAY('ปฏิทิน'!EW1,2),"จ.","อ.","พ.","พฤ.","ศ.","ส.","อา."))</f>
        <v/>
      </c>
      <c r="EX7" s="512">
        <f>IF('ปฏิทิน'!EX1="","",CHOOSE(WEEKDAY('ปฏิทิน'!EX1,2),"จ.","อ.","พ.","พฤ.","ศ.","ส.","อา."))</f>
        <v/>
      </c>
      <c r="EY7" s="512">
        <f>IF('ปฏิทิน'!EY1="","",CHOOSE(WEEKDAY('ปฏิทิน'!EY1,2),"จ.","อ.","พ.","พฤ.","ศ.","ส.","อา."))</f>
        <v/>
      </c>
      <c r="EZ7" s="512">
        <f>IF('ปฏิทิน'!EZ1="","",CHOOSE(WEEKDAY('ปฏิทิน'!EZ1,2),"จ.","อ.","พ.","พฤ.","ศ.","ส.","อา."))</f>
        <v/>
      </c>
      <c r="FA7" s="512">
        <f>IF('ปฏิทิน'!FA1="","",CHOOSE(WEEKDAY('ปฏิทิน'!FA1,2),"จ.","อ.","พ.","พฤ.","ศ.","ส.","อา."))</f>
        <v/>
      </c>
      <c r="FB7" s="512">
        <f>IF('ปฏิทิน'!FB1="","",CHOOSE(WEEKDAY('ปฏิทิน'!FB1,2),"จ.","อ.","พ.","พฤ.","ศ.","ส.","อา."))</f>
        <v/>
      </c>
      <c r="FC7" s="512">
        <f>IF('ปฏิทิน'!FC1="","",CHOOSE(WEEKDAY('ปฏิทิน'!FC1,2),"จ.","อ.","พ.","พฤ.","ศ.","ส.","อา."))</f>
        <v/>
      </c>
      <c r="FD7" s="512">
        <f>IF('ปฏิทิน'!FD1="","",CHOOSE(WEEKDAY('ปฏิทิน'!FD1,2),"จ.","อ.","พ.","พฤ.","ศ.","ส.","อา."))</f>
        <v/>
      </c>
      <c r="FE7" s="512">
        <f>IF('ปฏิทิน'!FE1="","",CHOOSE(WEEKDAY('ปฏิทิน'!FE1,2),"จ.","อ.","พ.","พฤ.","ศ.","ส.","อา."))</f>
        <v/>
      </c>
      <c r="FF7" s="512">
        <f>IF('ปฏิทิน'!FF1="","",CHOOSE(WEEKDAY('ปฏิทิน'!FF1,2),"จ.","อ.","พ.","พฤ.","ศ.","ส.","อา."))</f>
        <v/>
      </c>
      <c r="FG7" s="512">
        <f>IF('ปฏิทิน'!FG1="","",CHOOSE(WEEKDAY('ปฏิทิน'!FG1,2),"จ.","อ.","พ.","พฤ.","ศ.","ส.","อา."))</f>
        <v/>
      </c>
      <c r="FH7" s="512">
        <f>IF('ปฏิทิน'!FH1="","",CHOOSE(WEEKDAY('ปฏิทิน'!FH1,2),"จ.","อ.","พ.","พฤ.","ศ.","ส.","อา."))</f>
        <v/>
      </c>
      <c r="FI7" s="512">
        <f>IF('ปฏิทิน'!FI1="","",CHOOSE(WEEKDAY('ปฏิทิน'!FI1,2),"จ.","อ.","พ.","พฤ.","ศ.","ส.","อา."))</f>
        <v/>
      </c>
      <c r="FJ7" s="512">
        <f>IF('ปฏิทิน'!FJ1="","",CHOOSE(WEEKDAY('ปฏิทิน'!FJ1,2),"จ.","อ.","พ.","พฤ.","ศ.","ส.","อา."))</f>
        <v/>
      </c>
      <c r="FK7" s="512">
        <f>IF('ปฏิทิน'!FK1="","",CHOOSE(WEEKDAY('ปฏิทิน'!FK1,2),"จ.","อ.","พ.","พฤ.","ศ.","ส.","อา."))</f>
        <v/>
      </c>
      <c r="FL7" s="512">
        <f>IF('ปฏิทิน'!FL1="","",CHOOSE(WEEKDAY('ปฏิทิน'!FL1,2),"จ.","อ.","พ.","พฤ.","ศ.","ส.","อา."))</f>
        <v/>
      </c>
      <c r="FM7" s="512">
        <f>IF('ปฏิทิน'!FM1="","",CHOOSE(WEEKDAY('ปฏิทิน'!FM1,2),"จ.","อ.","พ.","พฤ.","ศ.","ส.","อา."))</f>
        <v/>
      </c>
      <c r="FN7" s="512">
        <f>IF('ปฏิทิน'!FN1="","",CHOOSE(WEEKDAY('ปฏิทิน'!FN1,2),"จ.","อ.","พ.","พฤ.","ศ.","ส.","อา."))</f>
        <v/>
      </c>
      <c r="FO7" s="513" t="n"/>
      <c r="FR7" s="511">
        <f>IF('ปฏิทิน'!FR1="","",CHOOSE(WEEKDAY('ปฏิทิน'!FR1,2),"จ.","อ.","พ.","พฤ.","ศ.","ส.","อา."))</f>
        <v/>
      </c>
      <c r="FS7" s="512">
        <f>IF('ปฏิทิน'!FS1="","",CHOOSE(WEEKDAY('ปฏิทิน'!FS1,2),"จ.","อ.","พ.","พฤ.","ศ.","ส.","อา."))</f>
        <v/>
      </c>
      <c r="FT7" s="512">
        <f>IF('ปฏิทิน'!FT1="","",CHOOSE(WEEKDAY('ปฏิทิน'!FT1,2),"จ.","อ.","พ.","พฤ.","ศ.","ส.","อา."))</f>
        <v/>
      </c>
      <c r="FU7" s="512">
        <f>IF('ปฏิทิน'!FU1="","",CHOOSE(WEEKDAY('ปฏิทิน'!FU1,2),"จ.","อ.","พ.","พฤ.","ศ.","ส.","อา."))</f>
        <v/>
      </c>
      <c r="FV7" s="512">
        <f>IF('ปฏิทิน'!FV1="","",CHOOSE(WEEKDAY('ปฏิทิน'!FV1,2),"จ.","อ.","พ.","พฤ.","ศ.","ส.","อา."))</f>
        <v/>
      </c>
      <c r="FW7" s="512">
        <f>IF('ปฏิทิน'!FW1="","",CHOOSE(WEEKDAY('ปฏิทิน'!FW1,2),"จ.","อ.","พ.","พฤ.","ศ.","ส.","อา."))</f>
        <v/>
      </c>
      <c r="FX7" s="512">
        <f>IF('ปฏิทิน'!FX1="","",CHOOSE(WEEKDAY('ปฏิทิน'!FX1,2),"จ.","อ.","พ.","พฤ.","ศ.","ส.","อา."))</f>
        <v/>
      </c>
      <c r="FY7" s="512">
        <f>IF('ปฏิทิน'!FY1="","",CHOOSE(WEEKDAY('ปฏิทิน'!FY1,2),"จ.","อ.","พ.","พฤ.","ศ.","ส.","อา."))</f>
        <v/>
      </c>
      <c r="FZ7" s="512">
        <f>IF('ปฏิทิน'!FZ1="","",CHOOSE(WEEKDAY('ปฏิทิน'!FZ1,2),"จ.","อ.","พ.","พฤ.","ศ.","ส.","อา."))</f>
        <v/>
      </c>
      <c r="GA7" s="512">
        <f>IF('ปฏิทิน'!GA1="","",CHOOSE(WEEKDAY('ปฏิทิน'!GA1,2),"จ.","อ.","พ.","พฤ.","ศ.","ส.","อา."))</f>
        <v/>
      </c>
      <c r="GB7" s="512">
        <f>IF('ปฏิทิน'!GB1="","",CHOOSE(WEEKDAY('ปฏิทิน'!GB1,2),"จ.","อ.","พ.","พฤ.","ศ.","ส.","อา."))</f>
        <v/>
      </c>
      <c r="GC7" s="512">
        <f>IF('ปฏิทิน'!GC1="","",CHOOSE(WEEKDAY('ปฏิทิน'!GC1,2),"จ.","อ.","พ.","พฤ.","ศ.","ส.","อา."))</f>
        <v/>
      </c>
      <c r="GD7" s="512">
        <f>IF('ปฏิทิน'!GD1="","",CHOOSE(WEEKDAY('ปฏิทิน'!GD1,2),"จ.","อ.","พ.","พฤ.","ศ.","ส.","อา."))</f>
        <v/>
      </c>
      <c r="GE7" s="512">
        <f>IF('ปฏิทิน'!GE1="","",CHOOSE(WEEKDAY('ปฏิทิน'!GE1,2),"จ.","อ.","พ.","พฤ.","ศ.","ส.","อา."))</f>
        <v/>
      </c>
      <c r="GF7" s="512">
        <f>IF('ปฏิทิน'!GF1="","",CHOOSE(WEEKDAY('ปฏิทิน'!GF1,2),"จ.","อ.","พ.","พฤ.","ศ.","ส.","อา."))</f>
        <v/>
      </c>
      <c r="GG7" s="512">
        <f>IF('ปฏิทิน'!GG1="","",CHOOSE(WEEKDAY('ปฏิทิน'!GG1,2),"จ.","อ.","พ.","พฤ.","ศ.","ส.","อา."))</f>
        <v/>
      </c>
      <c r="GH7" s="512">
        <f>IF('ปฏิทิน'!GH1="","",CHOOSE(WEEKDAY('ปฏิทิน'!GH1,2),"จ.","อ.","พ.","พฤ.","ศ.","ส.","อา."))</f>
        <v/>
      </c>
      <c r="GI7" s="512">
        <f>IF('ปฏิทิน'!GI1="","",CHOOSE(WEEKDAY('ปฏิทิน'!GI1,2),"จ.","อ.","พ.","พฤ.","ศ.","ส.","อา."))</f>
        <v/>
      </c>
      <c r="GJ7" s="512">
        <f>IF('ปฏิทิน'!GJ1="","",CHOOSE(WEEKDAY('ปฏิทิน'!GJ1,2),"จ.","อ.","พ.","พฤ.","ศ.","ส.","อา."))</f>
        <v/>
      </c>
      <c r="GK7" s="512">
        <f>IF('ปฏิทิน'!GK1="","",CHOOSE(WEEKDAY('ปฏิทิน'!GK1,2),"จ.","อ.","พ.","พฤ.","ศ.","ส.","อา."))</f>
        <v/>
      </c>
      <c r="GL7" s="512">
        <f>IF('ปฏิทิน'!GL1="","",CHOOSE(WEEKDAY('ปฏิทิน'!GL1,2),"จ.","อ.","พ.","พฤ.","ศ.","ส.","อา."))</f>
        <v/>
      </c>
      <c r="GM7" s="512">
        <f>IF('ปฏิทิน'!GM1="","",CHOOSE(WEEKDAY('ปฏิทิน'!GM1,2),"จ.","อ.","พ.","พฤ.","ศ.","ส.","อา."))</f>
        <v/>
      </c>
      <c r="GN7" s="512">
        <f>IF('ปฏิทิน'!GN1="","",CHOOSE(WEEKDAY('ปฏิทิน'!GN1,2),"จ.","อ.","พ.","พฤ.","ศ.","ส.","อา."))</f>
        <v/>
      </c>
      <c r="GO7" s="512">
        <f>IF('ปฏิทิน'!GO1="","",CHOOSE(WEEKDAY('ปฏิทิน'!GO1,2),"จ.","อ.","พ.","พฤ.","ศ.","ส.","อา."))</f>
        <v/>
      </c>
      <c r="GP7" s="512">
        <f>IF('ปฏิทิน'!GP1="","",CHOOSE(WEEKDAY('ปฏิทิน'!GP1,2),"จ.","อ.","พ.","พฤ.","ศ.","ส.","อา."))</f>
        <v/>
      </c>
      <c r="GQ7" s="512">
        <f>IF('ปฏิทิน'!GQ1="","",CHOOSE(WEEKDAY('ปฏิทิน'!GQ1,2),"จ.","อ.","พ.","พฤ.","ศ.","ส.","อา."))</f>
        <v/>
      </c>
      <c r="GR7" s="512">
        <f>IF('ปฏิทิน'!GR1="","",CHOOSE(WEEKDAY('ปฏิทิน'!GR1,2),"จ.","อ.","พ.","พฤ.","ศ.","ส.","อา."))</f>
        <v/>
      </c>
      <c r="GS7" s="512">
        <f>IF('ปฏิทิน'!GS1="","",CHOOSE(WEEKDAY('ปฏิทิน'!GS1,2),"จ.","อ.","พ.","พฤ.","ศ.","ส.","อา."))</f>
        <v/>
      </c>
      <c r="GT7" s="512">
        <f>IF('ปฏิทิน'!GT1="","",CHOOSE(WEEKDAY('ปฏิทิน'!GT1,2),"จ.","อ.","พ.","พฤ.","ศ.","ส.","อา."))</f>
        <v/>
      </c>
      <c r="GU7" s="512">
        <f>IF('ปฏิทิน'!GU1="","",CHOOSE(WEEKDAY('ปฏิทิน'!GU1,2),"จ.","อ.","พ.","พฤ.","ศ.","ส.","อา."))</f>
        <v/>
      </c>
      <c r="GV7" s="512">
        <f>IF('ปฏิทิน'!GV1="","",CHOOSE(WEEKDAY('ปฏิทิน'!GV1,2),"จ.","อ.","พ.","พฤ.","ศ.","ส.","อา."))</f>
        <v/>
      </c>
      <c r="GW7" s="513" t="n"/>
    </row>
    <row r="8" ht="64" customHeight="1">
      <c r="D8" s="514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513" t="n"/>
      <c r="AL8" s="514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513" t="n"/>
      <c r="BT8" s="514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513" t="n"/>
      <c r="DB8" s="514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513" t="n"/>
      <c r="EJ8" s="514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513" t="n"/>
      <c r="FR8" s="514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513" t="n"/>
    </row>
    <row r="9">
      <c r="A9" s="218" t="n">
        <v>1</v>
      </c>
      <c r="B9" s="219">
        <f>'ข้อมูลนักเรียน'!T9</f>
        <v/>
      </c>
      <c r="C9" s="515">
        <f>IF(B9="","",IFERROR(COUNTIF(D9:GY9,"ห")/(COUNTIF(D9:GY9,"ห")+COUNTIF(D9:GY9,"ล")+COUNTIF(D9:GY9,"ง")),""))</f>
        <v/>
      </c>
      <c r="D9" s="516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17">
        <f>IF($B9="","",COUNTIF(D9:AH9,"ห"))</f>
        <v/>
      </c>
      <c r="AJ9" s="518">
        <f>IF($B9="","",COUNTIF(D9:AH9,"ล"))</f>
        <v/>
      </c>
      <c r="AK9" s="519">
        <f>IF($B9="","",COUNTIF(D9:AH9,"ง"))</f>
        <v/>
      </c>
      <c r="AL9" s="516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17">
        <f>IF($B9="","",COUNTIF(AL9:BP9,"ห"))</f>
        <v/>
      </c>
      <c r="BR9" s="518">
        <f>IF($B9="","",COUNTIF(AL9:BP9,"ล"))</f>
        <v/>
      </c>
      <c r="BS9" s="519">
        <f>IF($B9="","",COUNTIF(AL9:BP9,"ง"))</f>
        <v/>
      </c>
      <c r="BT9" s="516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17">
        <f>IF($B9="","",COUNTIF(BT9:CX9,"ห"))</f>
        <v/>
      </c>
      <c r="CZ9" s="518">
        <f>IF($B9="","",COUNTIF(BT9:CX9,"ล"))</f>
        <v/>
      </c>
      <c r="DA9" s="519">
        <f>IF($B9="","",COUNTIF(BT9:CX9,"ง"))</f>
        <v/>
      </c>
      <c r="DB9" s="516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17">
        <f>IF($B9="","",COUNTIF(DB9:EF9,"ห"))</f>
        <v/>
      </c>
      <c r="EH9" s="518">
        <f>IF($B9="","",COUNTIF(DB9:EF9,"ล"))</f>
        <v/>
      </c>
      <c r="EI9" s="519">
        <f>IF($B9="","",COUNTIF(DB9:EF9,"ง"))</f>
        <v/>
      </c>
      <c r="EJ9" s="516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17">
        <f>IF($B9="","",COUNTIF(EJ9:FN9,"ห"))</f>
        <v/>
      </c>
      <c r="FP9" s="518">
        <f>IF($B9="","",COUNTIF(EJ9:FN9,"ล"))</f>
        <v/>
      </c>
      <c r="FQ9" s="519">
        <f>IF($B9="","",COUNTIF(EJ9:FN9,"ง"))</f>
        <v/>
      </c>
      <c r="FR9" s="516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517">
        <f>IF($B9="","",COUNTIF(FR9:GV9,"ห"))</f>
        <v/>
      </c>
      <c r="GX9" s="518">
        <f>IF($B9="","",COUNTIF(FR9:GV9,"ล"))</f>
        <v/>
      </c>
      <c r="GY9" s="519">
        <f>IF($B9="","",COUNTIF(FR9:GV9,"ง"))</f>
        <v/>
      </c>
    </row>
    <row r="10">
      <c r="A10" s="226" t="n">
        <v>2</v>
      </c>
      <c r="B10" s="227">
        <f>'ข้อมูลนักเรียน'!T10</f>
        <v/>
      </c>
      <c r="C10" s="515">
        <f>IF(B10="","",IFERROR(COUNTIF(D10:GY10,"ห")/(COUNTIF(D10:GY10,"ห")+COUNTIF(D10:GY10,"ล")+COUNTIF(D10:GY10,"ง")),""))</f>
        <v/>
      </c>
      <c r="D10" s="516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17">
        <f>IF($B10="","",COUNTIF(D10:AH10,"ห"))</f>
        <v/>
      </c>
      <c r="AJ10" s="518">
        <f>IF($B10="","",COUNTIF(D10:AH10,"ล"))</f>
        <v/>
      </c>
      <c r="AK10" s="519">
        <f>IF($B10="","",COUNTIF(D10:AH10,"ง"))</f>
        <v/>
      </c>
      <c r="AL10" s="516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17">
        <f>IF($B10="","",COUNTIF(AL10:BP10,"ห"))</f>
        <v/>
      </c>
      <c r="BR10" s="518">
        <f>IF($B10="","",COUNTIF(AL10:BP10,"ล"))</f>
        <v/>
      </c>
      <c r="BS10" s="519">
        <f>IF($B10="","",COUNTIF(AL10:BP10,"ง"))</f>
        <v/>
      </c>
      <c r="BT10" s="516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17">
        <f>IF($B10="","",COUNTIF(BT10:CX10,"ห"))</f>
        <v/>
      </c>
      <c r="CZ10" s="518">
        <f>IF($B10="","",COUNTIF(BT10:CX10,"ล"))</f>
        <v/>
      </c>
      <c r="DA10" s="519">
        <f>IF($B10="","",COUNTIF(BT10:CX10,"ง"))</f>
        <v/>
      </c>
      <c r="DB10" s="516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17">
        <f>IF($B10="","",COUNTIF(DB10:EF10,"ห"))</f>
        <v/>
      </c>
      <c r="EH10" s="518">
        <f>IF($B10="","",COUNTIF(DB10:EF10,"ล"))</f>
        <v/>
      </c>
      <c r="EI10" s="519">
        <f>IF($B10="","",COUNTIF(DB10:EF10,"ง"))</f>
        <v/>
      </c>
      <c r="EJ10" s="516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17">
        <f>IF($B10="","",COUNTIF(EJ10:FN10,"ห"))</f>
        <v/>
      </c>
      <c r="FP10" s="518">
        <f>IF($B10="","",COUNTIF(EJ10:FN10,"ล"))</f>
        <v/>
      </c>
      <c r="FQ10" s="519">
        <f>IF($B10="","",COUNTIF(EJ10:FN10,"ง"))</f>
        <v/>
      </c>
      <c r="FR10" s="516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517">
        <f>IF($B10="","",COUNTIF(FR10:GV10,"ห"))</f>
        <v/>
      </c>
      <c r="GX10" s="518">
        <f>IF($B10="","",COUNTIF(FR10:GV10,"ล"))</f>
        <v/>
      </c>
      <c r="GY10" s="519">
        <f>IF($B10="","",COUNTIF(FR10:GV10,"ง"))</f>
        <v/>
      </c>
    </row>
    <row r="11">
      <c r="A11" s="218" t="n">
        <v>3</v>
      </c>
      <c r="B11" s="219">
        <f>'ข้อมูลนักเรียน'!T11</f>
        <v/>
      </c>
      <c r="C11" s="515">
        <f>IF(B11="","",IFERROR(COUNTIF(D11:GY11,"ห")/(COUNTIF(D11:GY11,"ห")+COUNTIF(D11:GY11,"ล")+COUNTIF(D11:GY11,"ง")),""))</f>
        <v/>
      </c>
      <c r="D11" s="516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17">
        <f>IF($B11="","",COUNTIF(D11:AH11,"ห"))</f>
        <v/>
      </c>
      <c r="AJ11" s="518">
        <f>IF($B11="","",COUNTIF(D11:AH11,"ล"))</f>
        <v/>
      </c>
      <c r="AK11" s="519">
        <f>IF($B11="","",COUNTIF(D11:AH11,"ง"))</f>
        <v/>
      </c>
      <c r="AL11" s="516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17">
        <f>IF($B11="","",COUNTIF(AL11:BP11,"ห"))</f>
        <v/>
      </c>
      <c r="BR11" s="518">
        <f>IF($B11="","",COUNTIF(AL11:BP11,"ล"))</f>
        <v/>
      </c>
      <c r="BS11" s="519">
        <f>IF($B11="","",COUNTIF(AL11:BP11,"ง"))</f>
        <v/>
      </c>
      <c r="BT11" s="516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17">
        <f>IF($B11="","",COUNTIF(BT11:CX11,"ห"))</f>
        <v/>
      </c>
      <c r="CZ11" s="518">
        <f>IF($B11="","",COUNTIF(BT11:CX11,"ล"))</f>
        <v/>
      </c>
      <c r="DA11" s="519">
        <f>IF($B11="","",COUNTIF(BT11:CX11,"ง"))</f>
        <v/>
      </c>
      <c r="DB11" s="516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17">
        <f>IF($B11="","",COUNTIF(DB11:EF11,"ห"))</f>
        <v/>
      </c>
      <c r="EH11" s="518">
        <f>IF($B11="","",COUNTIF(DB11:EF11,"ล"))</f>
        <v/>
      </c>
      <c r="EI11" s="519">
        <f>IF($B11="","",COUNTIF(DB11:EF11,"ง"))</f>
        <v/>
      </c>
      <c r="EJ11" s="516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17">
        <f>IF($B11="","",COUNTIF(EJ11:FN11,"ห"))</f>
        <v/>
      </c>
      <c r="FP11" s="518">
        <f>IF($B11="","",COUNTIF(EJ11:FN11,"ล"))</f>
        <v/>
      </c>
      <c r="FQ11" s="519">
        <f>IF($B11="","",COUNTIF(EJ11:FN11,"ง"))</f>
        <v/>
      </c>
      <c r="FR11" s="516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517">
        <f>IF($B11="","",COUNTIF(FR11:GV11,"ห"))</f>
        <v/>
      </c>
      <c r="GX11" s="518">
        <f>IF($B11="","",COUNTIF(FR11:GV11,"ล"))</f>
        <v/>
      </c>
      <c r="GY11" s="519">
        <f>IF($B11="","",COUNTIF(FR11:GV11,"ง"))</f>
        <v/>
      </c>
    </row>
    <row r="12">
      <c r="A12" s="226" t="n">
        <v>4</v>
      </c>
      <c r="B12" s="227">
        <f>'ข้อมูลนักเรียน'!T12</f>
        <v/>
      </c>
      <c r="C12" s="515">
        <f>IF(B12="","",IFERROR(COUNTIF(D12:GY12,"ห")/(COUNTIF(D12:GY12,"ห")+COUNTIF(D12:GY12,"ล")+COUNTIF(D12:GY12,"ง")),""))</f>
        <v/>
      </c>
      <c r="D12" s="516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17">
        <f>IF($B12="","",COUNTIF(D12:AH12,"ห"))</f>
        <v/>
      </c>
      <c r="AJ12" s="518">
        <f>IF($B12="","",COUNTIF(D12:AH12,"ล"))</f>
        <v/>
      </c>
      <c r="AK12" s="519">
        <f>IF($B12="","",COUNTIF(D12:AH12,"ง"))</f>
        <v/>
      </c>
      <c r="AL12" s="516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17">
        <f>IF($B12="","",COUNTIF(AL12:BP12,"ห"))</f>
        <v/>
      </c>
      <c r="BR12" s="518">
        <f>IF($B12="","",COUNTIF(AL12:BP12,"ล"))</f>
        <v/>
      </c>
      <c r="BS12" s="519">
        <f>IF($B12="","",COUNTIF(AL12:BP12,"ง"))</f>
        <v/>
      </c>
      <c r="BT12" s="516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17">
        <f>IF($B12="","",COUNTIF(BT12:CX12,"ห"))</f>
        <v/>
      </c>
      <c r="CZ12" s="518">
        <f>IF($B12="","",COUNTIF(BT12:CX12,"ล"))</f>
        <v/>
      </c>
      <c r="DA12" s="519">
        <f>IF($B12="","",COUNTIF(BT12:CX12,"ง"))</f>
        <v/>
      </c>
      <c r="DB12" s="516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17">
        <f>IF($B12="","",COUNTIF(DB12:EF12,"ห"))</f>
        <v/>
      </c>
      <c r="EH12" s="518">
        <f>IF($B12="","",COUNTIF(DB12:EF12,"ล"))</f>
        <v/>
      </c>
      <c r="EI12" s="519">
        <f>IF($B12="","",COUNTIF(DB12:EF12,"ง"))</f>
        <v/>
      </c>
      <c r="EJ12" s="516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17">
        <f>IF($B12="","",COUNTIF(EJ12:FN12,"ห"))</f>
        <v/>
      </c>
      <c r="FP12" s="518">
        <f>IF($B12="","",COUNTIF(EJ12:FN12,"ล"))</f>
        <v/>
      </c>
      <c r="FQ12" s="519">
        <f>IF($B12="","",COUNTIF(EJ12:FN12,"ง"))</f>
        <v/>
      </c>
      <c r="FR12" s="516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517">
        <f>IF($B12="","",COUNTIF(FR12:GV12,"ห"))</f>
        <v/>
      </c>
      <c r="GX12" s="518">
        <f>IF($B12="","",COUNTIF(FR12:GV12,"ล"))</f>
        <v/>
      </c>
      <c r="GY12" s="519">
        <f>IF($B12="","",COUNTIF(FR12:GV12,"ง"))</f>
        <v/>
      </c>
    </row>
    <row r="13">
      <c r="A13" s="218" t="n">
        <v>5</v>
      </c>
      <c r="B13" s="219">
        <f>'ข้อมูลนักเรียน'!T13</f>
        <v/>
      </c>
      <c r="C13" s="515">
        <f>IF(B13="","",IFERROR(COUNTIF(D13:GY13,"ห")/(COUNTIF(D13:GY13,"ห")+COUNTIF(D13:GY13,"ล")+COUNTIF(D13:GY13,"ง")),""))</f>
        <v/>
      </c>
      <c r="D13" s="516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17">
        <f>IF($B13="","",COUNTIF(D13:AH13,"ห"))</f>
        <v/>
      </c>
      <c r="AJ13" s="518">
        <f>IF($B13="","",COUNTIF(D13:AH13,"ล"))</f>
        <v/>
      </c>
      <c r="AK13" s="519">
        <f>IF($B13="","",COUNTIF(D13:AH13,"ง"))</f>
        <v/>
      </c>
      <c r="AL13" s="516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17">
        <f>IF($B13="","",COUNTIF(AL13:BP13,"ห"))</f>
        <v/>
      </c>
      <c r="BR13" s="518">
        <f>IF($B13="","",COUNTIF(AL13:BP13,"ล"))</f>
        <v/>
      </c>
      <c r="BS13" s="519">
        <f>IF($B13="","",COUNTIF(AL13:BP13,"ง"))</f>
        <v/>
      </c>
      <c r="BT13" s="516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17">
        <f>IF($B13="","",COUNTIF(BT13:CX13,"ห"))</f>
        <v/>
      </c>
      <c r="CZ13" s="518">
        <f>IF($B13="","",COUNTIF(BT13:CX13,"ล"))</f>
        <v/>
      </c>
      <c r="DA13" s="519">
        <f>IF($B13="","",COUNTIF(BT13:CX13,"ง"))</f>
        <v/>
      </c>
      <c r="DB13" s="516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17">
        <f>IF($B13="","",COUNTIF(DB13:EF13,"ห"))</f>
        <v/>
      </c>
      <c r="EH13" s="518">
        <f>IF($B13="","",COUNTIF(DB13:EF13,"ล"))</f>
        <v/>
      </c>
      <c r="EI13" s="519">
        <f>IF($B13="","",COUNTIF(DB13:EF13,"ง"))</f>
        <v/>
      </c>
      <c r="EJ13" s="516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17">
        <f>IF($B13="","",COUNTIF(EJ13:FN13,"ห"))</f>
        <v/>
      </c>
      <c r="FP13" s="518">
        <f>IF($B13="","",COUNTIF(EJ13:FN13,"ล"))</f>
        <v/>
      </c>
      <c r="FQ13" s="519">
        <f>IF($B13="","",COUNTIF(EJ13:FN13,"ง"))</f>
        <v/>
      </c>
      <c r="FR13" s="516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517">
        <f>IF($B13="","",COUNTIF(FR13:GV13,"ห"))</f>
        <v/>
      </c>
      <c r="GX13" s="518">
        <f>IF($B13="","",COUNTIF(FR13:GV13,"ล"))</f>
        <v/>
      </c>
      <c r="GY13" s="519">
        <f>IF($B13="","",COUNTIF(FR13:GV13,"ง"))</f>
        <v/>
      </c>
    </row>
    <row r="14">
      <c r="A14" s="520" t="inlineStr">
        <is>
          <t>ทานหมด (คน)</t>
        </is>
      </c>
      <c r="B14" s="184" t="n"/>
      <c r="C14" s="184" t="n"/>
      <c r="D14" s="521">
        <f>IF(D$4&lt;&gt;1,"",COUNTIF(D9:D13,"ห"))</f>
        <v/>
      </c>
      <c r="E14" s="522">
        <f>IF(E$4&lt;&gt;1,"",COUNTIF(E9:E13,"ห"))</f>
        <v/>
      </c>
      <c r="F14" s="522">
        <f>IF(F$4&lt;&gt;1,"",COUNTIF(F9:F13,"ห"))</f>
        <v/>
      </c>
      <c r="G14" s="522">
        <f>IF(G$4&lt;&gt;1,"",COUNTIF(G9:G13,"ห"))</f>
        <v/>
      </c>
      <c r="H14" s="522">
        <f>IF(H$4&lt;&gt;1,"",COUNTIF(H9:H13,"ห"))</f>
        <v/>
      </c>
      <c r="I14" s="522">
        <f>IF(I$4&lt;&gt;1,"",COUNTIF(I9:I13,"ห"))</f>
        <v/>
      </c>
      <c r="J14" s="522">
        <f>IF(J$4&lt;&gt;1,"",COUNTIF(J9:J13,"ห"))</f>
        <v/>
      </c>
      <c r="K14" s="522">
        <f>IF(K$4&lt;&gt;1,"",COUNTIF(K9:K13,"ห"))</f>
        <v/>
      </c>
      <c r="L14" s="522">
        <f>IF(L$4&lt;&gt;1,"",COUNTIF(L9:L13,"ห"))</f>
        <v/>
      </c>
      <c r="M14" s="522">
        <f>IF(M$4&lt;&gt;1,"",COUNTIF(M9:M13,"ห"))</f>
        <v/>
      </c>
      <c r="N14" s="522">
        <f>IF(N$4&lt;&gt;1,"",COUNTIF(N9:N13,"ห"))</f>
        <v/>
      </c>
      <c r="O14" s="522">
        <f>IF(O$4&lt;&gt;1,"",COUNTIF(O9:O13,"ห"))</f>
        <v/>
      </c>
      <c r="P14" s="522">
        <f>IF(P$4&lt;&gt;1,"",COUNTIF(P9:P13,"ห"))</f>
        <v/>
      </c>
      <c r="Q14" s="522">
        <f>IF(Q$4&lt;&gt;1,"",COUNTIF(Q9:Q13,"ห"))</f>
        <v/>
      </c>
      <c r="R14" s="522">
        <f>IF(R$4&lt;&gt;1,"",COUNTIF(R9:R13,"ห"))</f>
        <v/>
      </c>
      <c r="S14" s="522">
        <f>IF(S$4&lt;&gt;1,"",COUNTIF(S9:S13,"ห"))</f>
        <v/>
      </c>
      <c r="T14" s="522">
        <f>IF(T$4&lt;&gt;1,"",COUNTIF(T9:T13,"ห"))</f>
        <v/>
      </c>
      <c r="U14" s="522">
        <f>IF(U$4&lt;&gt;1,"",COUNTIF(U9:U13,"ห"))</f>
        <v/>
      </c>
      <c r="V14" s="522">
        <f>IF(V$4&lt;&gt;1,"",COUNTIF(V9:V13,"ห"))</f>
        <v/>
      </c>
      <c r="W14" s="522">
        <f>IF(W$4&lt;&gt;1,"",COUNTIF(W9:W13,"ห"))</f>
        <v/>
      </c>
      <c r="X14" s="522">
        <f>IF(X$4&lt;&gt;1,"",COUNTIF(X9:X13,"ห"))</f>
        <v/>
      </c>
      <c r="Y14" s="522">
        <f>IF(Y$4&lt;&gt;1,"",COUNTIF(Y9:Y13,"ห"))</f>
        <v/>
      </c>
      <c r="Z14" s="522">
        <f>IF(Z$4&lt;&gt;1,"",COUNTIF(Z9:Z13,"ห"))</f>
        <v/>
      </c>
      <c r="AA14" s="522">
        <f>IF(AA$4&lt;&gt;1,"",COUNTIF(AA9:AA13,"ห"))</f>
        <v/>
      </c>
      <c r="AB14" s="522">
        <f>IF(AB$4&lt;&gt;1,"",COUNTIF(AB9:AB13,"ห"))</f>
        <v/>
      </c>
      <c r="AC14" s="522">
        <f>IF(AC$4&lt;&gt;1,"",COUNTIF(AC9:AC13,"ห"))</f>
        <v/>
      </c>
      <c r="AD14" s="522">
        <f>IF(AD$4&lt;&gt;1,"",COUNTIF(AD9:AD13,"ห"))</f>
        <v/>
      </c>
      <c r="AE14" s="522">
        <f>IF(AE$4&lt;&gt;1,"",COUNTIF(AE9:AE13,"ห"))</f>
        <v/>
      </c>
      <c r="AF14" s="522">
        <f>IF(AF$4&lt;&gt;1,"",COUNTIF(AF9:AF13,"ห"))</f>
        <v/>
      </c>
      <c r="AG14" s="522">
        <f>IF(AG$4&lt;&gt;1,"",COUNTIF(AG9:AG13,"ห"))</f>
        <v/>
      </c>
      <c r="AH14" s="522">
        <f>IF(AH$4&lt;&gt;1,"",COUNTIF(AH9:AH13,"ห"))</f>
        <v/>
      </c>
      <c r="AI14" s="523">
        <f>SUM(AI9:AI13)</f>
        <v/>
      </c>
      <c r="AJ14" s="524">
        <f>SUM(AJ9:AJ13)</f>
        <v/>
      </c>
      <c r="AK14" s="525">
        <f>SUM(AK9:AK13)</f>
        <v/>
      </c>
      <c r="AL14" s="521">
        <f>IF(AL$4&lt;&gt;1,"",COUNTIF(AL9:AL13,"ห"))</f>
        <v/>
      </c>
      <c r="AM14" s="522">
        <f>IF(AM$4&lt;&gt;1,"",COUNTIF(AM9:AM13,"ห"))</f>
        <v/>
      </c>
      <c r="AN14" s="522">
        <f>IF(AN$4&lt;&gt;1,"",COUNTIF(AN9:AN13,"ห"))</f>
        <v/>
      </c>
      <c r="AO14" s="522">
        <f>IF(AO$4&lt;&gt;1,"",COUNTIF(AO9:AO13,"ห"))</f>
        <v/>
      </c>
      <c r="AP14" s="522">
        <f>IF(AP$4&lt;&gt;1,"",COUNTIF(AP9:AP13,"ห"))</f>
        <v/>
      </c>
      <c r="AQ14" s="522">
        <f>IF(AQ$4&lt;&gt;1,"",COUNTIF(AQ9:AQ13,"ห"))</f>
        <v/>
      </c>
      <c r="AR14" s="522">
        <f>IF(AR$4&lt;&gt;1,"",COUNTIF(AR9:AR13,"ห"))</f>
        <v/>
      </c>
      <c r="AS14" s="522">
        <f>IF(AS$4&lt;&gt;1,"",COUNTIF(AS9:AS13,"ห"))</f>
        <v/>
      </c>
      <c r="AT14" s="522">
        <f>IF(AT$4&lt;&gt;1,"",COUNTIF(AT9:AT13,"ห"))</f>
        <v/>
      </c>
      <c r="AU14" s="522">
        <f>IF(AU$4&lt;&gt;1,"",COUNTIF(AU9:AU13,"ห"))</f>
        <v/>
      </c>
      <c r="AV14" s="522">
        <f>IF(AV$4&lt;&gt;1,"",COUNTIF(AV9:AV13,"ห"))</f>
        <v/>
      </c>
      <c r="AW14" s="522">
        <f>IF(AW$4&lt;&gt;1,"",COUNTIF(AW9:AW13,"ห"))</f>
        <v/>
      </c>
      <c r="AX14" s="522">
        <f>IF(AX$4&lt;&gt;1,"",COUNTIF(AX9:AX13,"ห"))</f>
        <v/>
      </c>
      <c r="AY14" s="522">
        <f>IF(AY$4&lt;&gt;1,"",COUNTIF(AY9:AY13,"ห"))</f>
        <v/>
      </c>
      <c r="AZ14" s="522">
        <f>IF(AZ$4&lt;&gt;1,"",COUNTIF(AZ9:AZ13,"ห"))</f>
        <v/>
      </c>
      <c r="BA14" s="522">
        <f>IF(BA$4&lt;&gt;1,"",COUNTIF(BA9:BA13,"ห"))</f>
        <v/>
      </c>
      <c r="BB14" s="522">
        <f>IF(BB$4&lt;&gt;1,"",COUNTIF(BB9:BB13,"ห"))</f>
        <v/>
      </c>
      <c r="BC14" s="522">
        <f>IF(BC$4&lt;&gt;1,"",COUNTIF(BC9:BC13,"ห"))</f>
        <v/>
      </c>
      <c r="BD14" s="522">
        <f>IF(BD$4&lt;&gt;1,"",COUNTIF(BD9:BD13,"ห"))</f>
        <v/>
      </c>
      <c r="BE14" s="522">
        <f>IF(BE$4&lt;&gt;1,"",COUNTIF(BE9:BE13,"ห"))</f>
        <v/>
      </c>
      <c r="BF14" s="522">
        <f>IF(BF$4&lt;&gt;1,"",COUNTIF(BF9:BF13,"ห"))</f>
        <v/>
      </c>
      <c r="BG14" s="522">
        <f>IF(BG$4&lt;&gt;1,"",COUNTIF(BG9:BG13,"ห"))</f>
        <v/>
      </c>
      <c r="BH14" s="522">
        <f>IF(BH$4&lt;&gt;1,"",COUNTIF(BH9:BH13,"ห"))</f>
        <v/>
      </c>
      <c r="BI14" s="522">
        <f>IF(BI$4&lt;&gt;1,"",COUNTIF(BI9:BI13,"ห"))</f>
        <v/>
      </c>
      <c r="BJ14" s="522">
        <f>IF(BJ$4&lt;&gt;1,"",COUNTIF(BJ9:BJ13,"ห"))</f>
        <v/>
      </c>
      <c r="BK14" s="522">
        <f>IF(BK$4&lt;&gt;1,"",COUNTIF(BK9:BK13,"ห"))</f>
        <v/>
      </c>
      <c r="BL14" s="522">
        <f>IF(BL$4&lt;&gt;1,"",COUNTIF(BL9:BL13,"ห"))</f>
        <v/>
      </c>
      <c r="BM14" s="522">
        <f>IF(BM$4&lt;&gt;1,"",COUNTIF(BM9:BM13,"ห"))</f>
        <v/>
      </c>
      <c r="BN14" s="522">
        <f>IF(BN$4&lt;&gt;1,"",COUNTIF(BN9:BN13,"ห"))</f>
        <v/>
      </c>
      <c r="BO14" s="522">
        <f>IF(BO$4&lt;&gt;1,"",COUNTIF(BO9:BO13,"ห"))</f>
        <v/>
      </c>
      <c r="BP14" s="522">
        <f>IF(BP$4&lt;&gt;1,"",COUNTIF(BP9:BP13,"ห"))</f>
        <v/>
      </c>
      <c r="BQ14" s="523">
        <f>SUM(BQ9:BQ13)</f>
        <v/>
      </c>
      <c r="BR14" s="524">
        <f>SUM(BR9:BR13)</f>
        <v/>
      </c>
      <c r="BS14" s="525">
        <f>SUM(BS9:BS13)</f>
        <v/>
      </c>
      <c r="BT14" s="521">
        <f>IF(BT$4&lt;&gt;1,"",COUNTIF(BT9:BT13,"ห"))</f>
        <v/>
      </c>
      <c r="BU14" s="522">
        <f>IF(BU$4&lt;&gt;1,"",COUNTIF(BU9:BU13,"ห"))</f>
        <v/>
      </c>
      <c r="BV14" s="522">
        <f>IF(BV$4&lt;&gt;1,"",COUNTIF(BV9:BV13,"ห"))</f>
        <v/>
      </c>
      <c r="BW14" s="522">
        <f>IF(BW$4&lt;&gt;1,"",COUNTIF(BW9:BW13,"ห"))</f>
        <v/>
      </c>
      <c r="BX14" s="522">
        <f>IF(BX$4&lt;&gt;1,"",COUNTIF(BX9:BX13,"ห"))</f>
        <v/>
      </c>
      <c r="BY14" s="522">
        <f>IF(BY$4&lt;&gt;1,"",COUNTIF(BY9:BY13,"ห"))</f>
        <v/>
      </c>
      <c r="BZ14" s="522">
        <f>IF(BZ$4&lt;&gt;1,"",COUNTIF(BZ9:BZ13,"ห"))</f>
        <v/>
      </c>
      <c r="CA14" s="522">
        <f>IF(CA$4&lt;&gt;1,"",COUNTIF(CA9:CA13,"ห"))</f>
        <v/>
      </c>
      <c r="CB14" s="522">
        <f>IF(CB$4&lt;&gt;1,"",COUNTIF(CB9:CB13,"ห"))</f>
        <v/>
      </c>
      <c r="CC14" s="522">
        <f>IF(CC$4&lt;&gt;1,"",COUNTIF(CC9:CC13,"ห"))</f>
        <v/>
      </c>
      <c r="CD14" s="522">
        <f>IF(CD$4&lt;&gt;1,"",COUNTIF(CD9:CD13,"ห"))</f>
        <v/>
      </c>
      <c r="CE14" s="522">
        <f>IF(CE$4&lt;&gt;1,"",COUNTIF(CE9:CE13,"ห"))</f>
        <v/>
      </c>
      <c r="CF14" s="522">
        <f>IF(CF$4&lt;&gt;1,"",COUNTIF(CF9:CF13,"ห"))</f>
        <v/>
      </c>
      <c r="CG14" s="522">
        <f>IF(CG$4&lt;&gt;1,"",COUNTIF(CG9:CG13,"ห"))</f>
        <v/>
      </c>
      <c r="CH14" s="522">
        <f>IF(CH$4&lt;&gt;1,"",COUNTIF(CH9:CH13,"ห"))</f>
        <v/>
      </c>
      <c r="CI14" s="522">
        <f>IF(CI$4&lt;&gt;1,"",COUNTIF(CI9:CI13,"ห"))</f>
        <v/>
      </c>
      <c r="CJ14" s="522">
        <f>IF(CJ$4&lt;&gt;1,"",COUNTIF(CJ9:CJ13,"ห"))</f>
        <v/>
      </c>
      <c r="CK14" s="522">
        <f>IF(CK$4&lt;&gt;1,"",COUNTIF(CK9:CK13,"ห"))</f>
        <v/>
      </c>
      <c r="CL14" s="522">
        <f>IF(CL$4&lt;&gt;1,"",COUNTIF(CL9:CL13,"ห"))</f>
        <v/>
      </c>
      <c r="CM14" s="522">
        <f>IF(CM$4&lt;&gt;1,"",COUNTIF(CM9:CM13,"ห"))</f>
        <v/>
      </c>
      <c r="CN14" s="522">
        <f>IF(CN$4&lt;&gt;1,"",COUNTIF(CN9:CN13,"ห"))</f>
        <v/>
      </c>
      <c r="CO14" s="522">
        <f>IF(CO$4&lt;&gt;1,"",COUNTIF(CO9:CO13,"ห"))</f>
        <v/>
      </c>
      <c r="CP14" s="522">
        <f>IF(CP$4&lt;&gt;1,"",COUNTIF(CP9:CP13,"ห"))</f>
        <v/>
      </c>
      <c r="CQ14" s="522">
        <f>IF(CQ$4&lt;&gt;1,"",COUNTIF(CQ9:CQ13,"ห"))</f>
        <v/>
      </c>
      <c r="CR14" s="522">
        <f>IF(CR$4&lt;&gt;1,"",COUNTIF(CR9:CR13,"ห"))</f>
        <v/>
      </c>
      <c r="CS14" s="522">
        <f>IF(CS$4&lt;&gt;1,"",COUNTIF(CS9:CS13,"ห"))</f>
        <v/>
      </c>
      <c r="CT14" s="522">
        <f>IF(CT$4&lt;&gt;1,"",COUNTIF(CT9:CT13,"ห"))</f>
        <v/>
      </c>
      <c r="CU14" s="522">
        <f>IF(CU$4&lt;&gt;1,"",COUNTIF(CU9:CU13,"ห"))</f>
        <v/>
      </c>
      <c r="CV14" s="522">
        <f>IF(CV$4&lt;&gt;1,"",COUNTIF(CV9:CV13,"ห"))</f>
        <v/>
      </c>
      <c r="CW14" s="522">
        <f>IF(CW$4&lt;&gt;1,"",COUNTIF(CW9:CW13,"ห"))</f>
        <v/>
      </c>
      <c r="CX14" s="522">
        <f>IF(CX$4&lt;&gt;1,"",COUNTIF(CX9:CX13,"ห"))</f>
        <v/>
      </c>
      <c r="CY14" s="523">
        <f>SUM(CY9:CY13)</f>
        <v/>
      </c>
      <c r="CZ14" s="524">
        <f>SUM(CZ9:CZ13)</f>
        <v/>
      </c>
      <c r="DA14" s="525">
        <f>SUM(DA9:DA13)</f>
        <v/>
      </c>
      <c r="DB14" s="521">
        <f>IF(DB$4&lt;&gt;1,"",COUNTIF(DB9:DB13,"ห"))</f>
        <v/>
      </c>
      <c r="DC14" s="522">
        <f>IF(DC$4&lt;&gt;1,"",COUNTIF(DC9:DC13,"ห"))</f>
        <v/>
      </c>
      <c r="DD14" s="522">
        <f>IF(DD$4&lt;&gt;1,"",COUNTIF(DD9:DD13,"ห"))</f>
        <v/>
      </c>
      <c r="DE14" s="522">
        <f>IF(DE$4&lt;&gt;1,"",COUNTIF(DE9:DE13,"ห"))</f>
        <v/>
      </c>
      <c r="DF14" s="522">
        <f>IF(DF$4&lt;&gt;1,"",COUNTIF(DF9:DF13,"ห"))</f>
        <v/>
      </c>
      <c r="DG14" s="522">
        <f>IF(DG$4&lt;&gt;1,"",COUNTIF(DG9:DG13,"ห"))</f>
        <v/>
      </c>
      <c r="DH14" s="522">
        <f>IF(DH$4&lt;&gt;1,"",COUNTIF(DH9:DH13,"ห"))</f>
        <v/>
      </c>
      <c r="DI14" s="522">
        <f>IF(DI$4&lt;&gt;1,"",COUNTIF(DI9:DI13,"ห"))</f>
        <v/>
      </c>
      <c r="DJ14" s="522">
        <f>IF(DJ$4&lt;&gt;1,"",COUNTIF(DJ9:DJ13,"ห"))</f>
        <v/>
      </c>
      <c r="DK14" s="522">
        <f>IF(DK$4&lt;&gt;1,"",COUNTIF(DK9:DK13,"ห"))</f>
        <v/>
      </c>
      <c r="DL14" s="522">
        <f>IF(DL$4&lt;&gt;1,"",COUNTIF(DL9:DL13,"ห"))</f>
        <v/>
      </c>
      <c r="DM14" s="522">
        <f>IF(DM$4&lt;&gt;1,"",COUNTIF(DM9:DM13,"ห"))</f>
        <v/>
      </c>
      <c r="DN14" s="522">
        <f>IF(DN$4&lt;&gt;1,"",COUNTIF(DN9:DN13,"ห"))</f>
        <v/>
      </c>
      <c r="DO14" s="522">
        <f>IF(DO$4&lt;&gt;1,"",COUNTIF(DO9:DO13,"ห"))</f>
        <v/>
      </c>
      <c r="DP14" s="522">
        <f>IF(DP$4&lt;&gt;1,"",COUNTIF(DP9:DP13,"ห"))</f>
        <v/>
      </c>
      <c r="DQ14" s="522">
        <f>IF(DQ$4&lt;&gt;1,"",COUNTIF(DQ9:DQ13,"ห"))</f>
        <v/>
      </c>
      <c r="DR14" s="522">
        <f>IF(DR$4&lt;&gt;1,"",COUNTIF(DR9:DR13,"ห"))</f>
        <v/>
      </c>
      <c r="DS14" s="522">
        <f>IF(DS$4&lt;&gt;1,"",COUNTIF(DS9:DS13,"ห"))</f>
        <v/>
      </c>
      <c r="DT14" s="522">
        <f>IF(DT$4&lt;&gt;1,"",COUNTIF(DT9:DT13,"ห"))</f>
        <v/>
      </c>
      <c r="DU14" s="522">
        <f>IF(DU$4&lt;&gt;1,"",COUNTIF(DU9:DU13,"ห"))</f>
        <v/>
      </c>
      <c r="DV14" s="522">
        <f>IF(DV$4&lt;&gt;1,"",COUNTIF(DV9:DV13,"ห"))</f>
        <v/>
      </c>
      <c r="DW14" s="522">
        <f>IF(DW$4&lt;&gt;1,"",COUNTIF(DW9:DW13,"ห"))</f>
        <v/>
      </c>
      <c r="DX14" s="522">
        <f>IF(DX$4&lt;&gt;1,"",COUNTIF(DX9:DX13,"ห"))</f>
        <v/>
      </c>
      <c r="DY14" s="522">
        <f>IF(DY$4&lt;&gt;1,"",COUNTIF(DY9:DY13,"ห"))</f>
        <v/>
      </c>
      <c r="DZ14" s="522">
        <f>IF(DZ$4&lt;&gt;1,"",COUNTIF(DZ9:DZ13,"ห"))</f>
        <v/>
      </c>
      <c r="EA14" s="522">
        <f>IF(EA$4&lt;&gt;1,"",COUNTIF(EA9:EA13,"ห"))</f>
        <v/>
      </c>
      <c r="EB14" s="522">
        <f>IF(EB$4&lt;&gt;1,"",COUNTIF(EB9:EB13,"ห"))</f>
        <v/>
      </c>
      <c r="EC14" s="522">
        <f>IF(EC$4&lt;&gt;1,"",COUNTIF(EC9:EC13,"ห"))</f>
        <v/>
      </c>
      <c r="ED14" s="522">
        <f>IF(ED$4&lt;&gt;1,"",COUNTIF(ED9:ED13,"ห"))</f>
        <v/>
      </c>
      <c r="EE14" s="522">
        <f>IF(EE$4&lt;&gt;1,"",COUNTIF(EE9:EE13,"ห"))</f>
        <v/>
      </c>
      <c r="EF14" s="522">
        <f>IF(EF$4&lt;&gt;1,"",COUNTIF(EF9:EF13,"ห"))</f>
        <v/>
      </c>
      <c r="EG14" s="523">
        <f>SUM(EG9:EG13)</f>
        <v/>
      </c>
      <c r="EH14" s="524">
        <f>SUM(EH9:EH13)</f>
        <v/>
      </c>
      <c r="EI14" s="525">
        <f>SUM(EI9:EI13)</f>
        <v/>
      </c>
      <c r="EJ14" s="521">
        <f>IF(EJ$4&lt;&gt;1,"",COUNTIF(EJ9:EJ13,"ห"))</f>
        <v/>
      </c>
      <c r="EK14" s="522">
        <f>IF(EK$4&lt;&gt;1,"",COUNTIF(EK9:EK13,"ห"))</f>
        <v/>
      </c>
      <c r="EL14" s="522">
        <f>IF(EL$4&lt;&gt;1,"",COUNTIF(EL9:EL13,"ห"))</f>
        <v/>
      </c>
      <c r="EM14" s="522">
        <f>IF(EM$4&lt;&gt;1,"",COUNTIF(EM9:EM13,"ห"))</f>
        <v/>
      </c>
      <c r="EN14" s="522">
        <f>IF(EN$4&lt;&gt;1,"",COUNTIF(EN9:EN13,"ห"))</f>
        <v/>
      </c>
      <c r="EO14" s="522">
        <f>IF(EO$4&lt;&gt;1,"",COUNTIF(EO9:EO13,"ห"))</f>
        <v/>
      </c>
      <c r="EP14" s="522">
        <f>IF(EP$4&lt;&gt;1,"",COUNTIF(EP9:EP13,"ห"))</f>
        <v/>
      </c>
      <c r="EQ14" s="522">
        <f>IF(EQ$4&lt;&gt;1,"",COUNTIF(EQ9:EQ13,"ห"))</f>
        <v/>
      </c>
      <c r="ER14" s="522">
        <f>IF(ER$4&lt;&gt;1,"",COUNTIF(ER9:ER13,"ห"))</f>
        <v/>
      </c>
      <c r="ES14" s="522">
        <f>IF(ES$4&lt;&gt;1,"",COUNTIF(ES9:ES13,"ห"))</f>
        <v/>
      </c>
      <c r="ET14" s="522">
        <f>IF(ET$4&lt;&gt;1,"",COUNTIF(ET9:ET13,"ห"))</f>
        <v/>
      </c>
      <c r="EU14" s="522">
        <f>IF(EU$4&lt;&gt;1,"",COUNTIF(EU9:EU13,"ห"))</f>
        <v/>
      </c>
      <c r="EV14" s="522">
        <f>IF(EV$4&lt;&gt;1,"",COUNTIF(EV9:EV13,"ห"))</f>
        <v/>
      </c>
      <c r="EW14" s="522">
        <f>IF(EW$4&lt;&gt;1,"",COUNTIF(EW9:EW13,"ห"))</f>
        <v/>
      </c>
      <c r="EX14" s="522">
        <f>IF(EX$4&lt;&gt;1,"",COUNTIF(EX9:EX13,"ห"))</f>
        <v/>
      </c>
      <c r="EY14" s="522">
        <f>IF(EY$4&lt;&gt;1,"",COUNTIF(EY9:EY13,"ห"))</f>
        <v/>
      </c>
      <c r="EZ14" s="522">
        <f>IF(EZ$4&lt;&gt;1,"",COUNTIF(EZ9:EZ13,"ห"))</f>
        <v/>
      </c>
      <c r="FA14" s="522">
        <f>IF(FA$4&lt;&gt;1,"",COUNTIF(FA9:FA13,"ห"))</f>
        <v/>
      </c>
      <c r="FB14" s="522">
        <f>IF(FB$4&lt;&gt;1,"",COUNTIF(FB9:FB13,"ห"))</f>
        <v/>
      </c>
      <c r="FC14" s="522">
        <f>IF(FC$4&lt;&gt;1,"",COUNTIF(FC9:FC13,"ห"))</f>
        <v/>
      </c>
      <c r="FD14" s="522">
        <f>IF(FD$4&lt;&gt;1,"",COUNTIF(FD9:FD13,"ห"))</f>
        <v/>
      </c>
      <c r="FE14" s="522">
        <f>IF(FE$4&lt;&gt;1,"",COUNTIF(FE9:FE13,"ห"))</f>
        <v/>
      </c>
      <c r="FF14" s="522">
        <f>IF(FF$4&lt;&gt;1,"",COUNTIF(FF9:FF13,"ห"))</f>
        <v/>
      </c>
      <c r="FG14" s="522">
        <f>IF(FG$4&lt;&gt;1,"",COUNTIF(FG9:FG13,"ห"))</f>
        <v/>
      </c>
      <c r="FH14" s="522">
        <f>IF(FH$4&lt;&gt;1,"",COUNTIF(FH9:FH13,"ห"))</f>
        <v/>
      </c>
      <c r="FI14" s="522">
        <f>IF(FI$4&lt;&gt;1,"",COUNTIF(FI9:FI13,"ห"))</f>
        <v/>
      </c>
      <c r="FJ14" s="522">
        <f>IF(FJ$4&lt;&gt;1,"",COUNTIF(FJ9:FJ13,"ห"))</f>
        <v/>
      </c>
      <c r="FK14" s="522">
        <f>IF(FK$4&lt;&gt;1,"",COUNTIF(FK9:FK13,"ห"))</f>
        <v/>
      </c>
      <c r="FL14" s="522">
        <f>IF(FL$4&lt;&gt;1,"",COUNTIF(FL9:FL13,"ห"))</f>
        <v/>
      </c>
      <c r="FM14" s="522">
        <f>IF(FM$4&lt;&gt;1,"",COUNTIF(FM9:FM13,"ห"))</f>
        <v/>
      </c>
      <c r="FN14" s="522">
        <f>IF(FN$4&lt;&gt;1,"",COUNTIF(FN9:FN13,"ห"))</f>
        <v/>
      </c>
      <c r="FO14" s="523">
        <f>SUM(FO9:FO13)</f>
        <v/>
      </c>
      <c r="FP14" s="524">
        <f>SUM(FP9:FP13)</f>
        <v/>
      </c>
      <c r="FQ14" s="525">
        <f>SUM(FQ9:FQ13)</f>
        <v/>
      </c>
      <c r="FR14" s="521">
        <f>IF(FR$4&lt;&gt;1,"",COUNTIF(FR9:FR13,"ห"))</f>
        <v/>
      </c>
      <c r="FS14" s="522">
        <f>IF(FS$4&lt;&gt;1,"",COUNTIF(FS9:FS13,"ห"))</f>
        <v/>
      </c>
      <c r="FT14" s="522">
        <f>IF(FT$4&lt;&gt;1,"",COUNTIF(FT9:FT13,"ห"))</f>
        <v/>
      </c>
      <c r="FU14" s="522">
        <f>IF(FU$4&lt;&gt;1,"",COUNTIF(FU9:FU13,"ห"))</f>
        <v/>
      </c>
      <c r="FV14" s="522">
        <f>IF(FV$4&lt;&gt;1,"",COUNTIF(FV9:FV13,"ห"))</f>
        <v/>
      </c>
      <c r="FW14" s="522">
        <f>IF(FW$4&lt;&gt;1,"",COUNTIF(FW9:FW13,"ห"))</f>
        <v/>
      </c>
      <c r="FX14" s="522">
        <f>IF(FX$4&lt;&gt;1,"",COUNTIF(FX9:FX13,"ห"))</f>
        <v/>
      </c>
      <c r="FY14" s="522">
        <f>IF(FY$4&lt;&gt;1,"",COUNTIF(FY9:FY13,"ห"))</f>
        <v/>
      </c>
      <c r="FZ14" s="522">
        <f>IF(FZ$4&lt;&gt;1,"",COUNTIF(FZ9:FZ13,"ห"))</f>
        <v/>
      </c>
      <c r="GA14" s="522">
        <f>IF(GA$4&lt;&gt;1,"",COUNTIF(GA9:GA13,"ห"))</f>
        <v/>
      </c>
      <c r="GB14" s="522">
        <f>IF(GB$4&lt;&gt;1,"",COUNTIF(GB9:GB13,"ห"))</f>
        <v/>
      </c>
      <c r="GC14" s="522">
        <f>IF(GC$4&lt;&gt;1,"",COUNTIF(GC9:GC13,"ห"))</f>
        <v/>
      </c>
      <c r="GD14" s="522">
        <f>IF(GD$4&lt;&gt;1,"",COUNTIF(GD9:GD13,"ห"))</f>
        <v/>
      </c>
      <c r="GE14" s="522">
        <f>IF(GE$4&lt;&gt;1,"",COUNTIF(GE9:GE13,"ห"))</f>
        <v/>
      </c>
      <c r="GF14" s="522">
        <f>IF(GF$4&lt;&gt;1,"",COUNTIF(GF9:GF13,"ห"))</f>
        <v/>
      </c>
      <c r="GG14" s="522">
        <f>IF(GG$4&lt;&gt;1,"",COUNTIF(GG9:GG13,"ห"))</f>
        <v/>
      </c>
      <c r="GH14" s="522">
        <f>IF(GH$4&lt;&gt;1,"",COUNTIF(GH9:GH13,"ห"))</f>
        <v/>
      </c>
      <c r="GI14" s="522">
        <f>IF(GI$4&lt;&gt;1,"",COUNTIF(GI9:GI13,"ห"))</f>
        <v/>
      </c>
      <c r="GJ14" s="522">
        <f>IF(GJ$4&lt;&gt;1,"",COUNTIF(GJ9:GJ13,"ห"))</f>
        <v/>
      </c>
      <c r="GK14" s="522">
        <f>IF(GK$4&lt;&gt;1,"",COUNTIF(GK9:GK13,"ห"))</f>
        <v/>
      </c>
      <c r="GL14" s="522">
        <f>IF(GL$4&lt;&gt;1,"",COUNTIF(GL9:GL13,"ห"))</f>
        <v/>
      </c>
      <c r="GM14" s="522">
        <f>IF(GM$4&lt;&gt;1,"",COUNTIF(GM9:GM13,"ห"))</f>
        <v/>
      </c>
      <c r="GN14" s="522">
        <f>IF(GN$4&lt;&gt;1,"",COUNTIF(GN9:GN13,"ห"))</f>
        <v/>
      </c>
      <c r="GO14" s="522">
        <f>IF(GO$4&lt;&gt;1,"",COUNTIF(GO9:GO13,"ห"))</f>
        <v/>
      </c>
      <c r="GP14" s="522">
        <f>IF(GP$4&lt;&gt;1,"",COUNTIF(GP9:GP13,"ห"))</f>
        <v/>
      </c>
      <c r="GQ14" s="522">
        <f>IF(GQ$4&lt;&gt;1,"",COUNTIF(GQ9:GQ13,"ห"))</f>
        <v/>
      </c>
      <c r="GR14" s="522">
        <f>IF(GR$4&lt;&gt;1,"",COUNTIF(GR9:GR13,"ห"))</f>
        <v/>
      </c>
      <c r="GS14" s="522">
        <f>IF(GS$4&lt;&gt;1,"",COUNTIF(GS9:GS13,"ห"))</f>
        <v/>
      </c>
      <c r="GT14" s="522">
        <f>IF(GT$4&lt;&gt;1,"",COUNTIF(GT9:GT13,"ห"))</f>
        <v/>
      </c>
      <c r="GU14" s="522">
        <f>IF(GU$4&lt;&gt;1,"",COUNTIF(GU9:GU13,"ห"))</f>
        <v/>
      </c>
      <c r="GV14" s="522">
        <f>IF(GV$4&lt;&gt;1,"",COUNTIF(GV9:GV13,"ห"))</f>
        <v/>
      </c>
      <c r="GW14" s="523">
        <f>SUM(GW9:GW13)</f>
        <v/>
      </c>
      <c r="GX14" s="524">
        <f>SUM(GX9:GX13)</f>
        <v/>
      </c>
      <c r="GY14" s="525">
        <f>SUM(GY9:GY13)</f>
        <v/>
      </c>
    </row>
    <row r="15">
      <c r="A15" s="520" t="inlineStr">
        <is>
          <t>ทานเหลือ (คน)</t>
        </is>
      </c>
      <c r="B15" s="184" t="n"/>
      <c r="C15" s="184" t="n"/>
      <c r="D15" s="521">
        <f>IF(D$4&lt;&gt;1,"",COUNTIF(D9:D13,"ล"))</f>
        <v/>
      </c>
      <c r="E15" s="522">
        <f>IF(E$4&lt;&gt;1,"",COUNTIF(E9:E13,"ล"))</f>
        <v/>
      </c>
      <c r="F15" s="522">
        <f>IF(F$4&lt;&gt;1,"",COUNTIF(F9:F13,"ล"))</f>
        <v/>
      </c>
      <c r="G15" s="522">
        <f>IF(G$4&lt;&gt;1,"",COUNTIF(G9:G13,"ล"))</f>
        <v/>
      </c>
      <c r="H15" s="522">
        <f>IF(H$4&lt;&gt;1,"",COUNTIF(H9:H13,"ล"))</f>
        <v/>
      </c>
      <c r="I15" s="522">
        <f>IF(I$4&lt;&gt;1,"",COUNTIF(I9:I13,"ล"))</f>
        <v/>
      </c>
      <c r="J15" s="522">
        <f>IF(J$4&lt;&gt;1,"",COUNTIF(J9:J13,"ล"))</f>
        <v/>
      </c>
      <c r="K15" s="522">
        <f>IF(K$4&lt;&gt;1,"",COUNTIF(K9:K13,"ล"))</f>
        <v/>
      </c>
      <c r="L15" s="522">
        <f>IF(L$4&lt;&gt;1,"",COUNTIF(L9:L13,"ล"))</f>
        <v/>
      </c>
      <c r="M15" s="522">
        <f>IF(M$4&lt;&gt;1,"",COUNTIF(M9:M13,"ล"))</f>
        <v/>
      </c>
      <c r="N15" s="522">
        <f>IF(N$4&lt;&gt;1,"",COUNTIF(N9:N13,"ล"))</f>
        <v/>
      </c>
      <c r="O15" s="522">
        <f>IF(O$4&lt;&gt;1,"",COUNTIF(O9:O13,"ล"))</f>
        <v/>
      </c>
      <c r="P15" s="522">
        <f>IF(P$4&lt;&gt;1,"",COUNTIF(P9:P13,"ล"))</f>
        <v/>
      </c>
      <c r="Q15" s="522">
        <f>IF(Q$4&lt;&gt;1,"",COUNTIF(Q9:Q13,"ล"))</f>
        <v/>
      </c>
      <c r="R15" s="522">
        <f>IF(R$4&lt;&gt;1,"",COUNTIF(R9:R13,"ล"))</f>
        <v/>
      </c>
      <c r="S15" s="522">
        <f>IF(S$4&lt;&gt;1,"",COUNTIF(S9:S13,"ล"))</f>
        <v/>
      </c>
      <c r="T15" s="522">
        <f>IF(T$4&lt;&gt;1,"",COUNTIF(T9:T13,"ล"))</f>
        <v/>
      </c>
      <c r="U15" s="522">
        <f>IF(U$4&lt;&gt;1,"",COUNTIF(U9:U13,"ล"))</f>
        <v/>
      </c>
      <c r="V15" s="522">
        <f>IF(V$4&lt;&gt;1,"",COUNTIF(V9:V13,"ล"))</f>
        <v/>
      </c>
      <c r="W15" s="522">
        <f>IF(W$4&lt;&gt;1,"",COUNTIF(W9:W13,"ล"))</f>
        <v/>
      </c>
      <c r="X15" s="522">
        <f>IF(X$4&lt;&gt;1,"",COUNTIF(X9:X13,"ล"))</f>
        <v/>
      </c>
      <c r="Y15" s="522">
        <f>IF(Y$4&lt;&gt;1,"",COUNTIF(Y9:Y13,"ล"))</f>
        <v/>
      </c>
      <c r="Z15" s="522">
        <f>IF(Z$4&lt;&gt;1,"",COUNTIF(Z9:Z13,"ล"))</f>
        <v/>
      </c>
      <c r="AA15" s="522">
        <f>IF(AA$4&lt;&gt;1,"",COUNTIF(AA9:AA13,"ล"))</f>
        <v/>
      </c>
      <c r="AB15" s="522">
        <f>IF(AB$4&lt;&gt;1,"",COUNTIF(AB9:AB13,"ล"))</f>
        <v/>
      </c>
      <c r="AC15" s="522">
        <f>IF(AC$4&lt;&gt;1,"",COUNTIF(AC9:AC13,"ล"))</f>
        <v/>
      </c>
      <c r="AD15" s="522">
        <f>IF(AD$4&lt;&gt;1,"",COUNTIF(AD9:AD13,"ล"))</f>
        <v/>
      </c>
      <c r="AE15" s="522">
        <f>IF(AE$4&lt;&gt;1,"",COUNTIF(AE9:AE13,"ล"))</f>
        <v/>
      </c>
      <c r="AF15" s="522">
        <f>IF(AF$4&lt;&gt;1,"",COUNTIF(AF9:AF13,"ล"))</f>
        <v/>
      </c>
      <c r="AG15" s="522">
        <f>IF(AG$4&lt;&gt;1,"",COUNTIF(AG9:AG13,"ล"))</f>
        <v/>
      </c>
      <c r="AH15" s="522">
        <f>IF(AH$4&lt;&gt;1,"",COUNTIF(AH9:AH13,"ล"))</f>
        <v/>
      </c>
      <c r="AI15" s="523" t="n"/>
      <c r="AJ15" s="524" t="n"/>
      <c r="AK15" s="525" t="n"/>
      <c r="AL15" s="521">
        <f>IF(AL$4&lt;&gt;1,"",COUNTIF(AL9:AL13,"ล"))</f>
        <v/>
      </c>
      <c r="AM15" s="522">
        <f>IF(AM$4&lt;&gt;1,"",COUNTIF(AM9:AM13,"ล"))</f>
        <v/>
      </c>
      <c r="AN15" s="522">
        <f>IF(AN$4&lt;&gt;1,"",COUNTIF(AN9:AN13,"ล"))</f>
        <v/>
      </c>
      <c r="AO15" s="522">
        <f>IF(AO$4&lt;&gt;1,"",COUNTIF(AO9:AO13,"ล"))</f>
        <v/>
      </c>
      <c r="AP15" s="522">
        <f>IF(AP$4&lt;&gt;1,"",COUNTIF(AP9:AP13,"ล"))</f>
        <v/>
      </c>
      <c r="AQ15" s="522">
        <f>IF(AQ$4&lt;&gt;1,"",COUNTIF(AQ9:AQ13,"ล"))</f>
        <v/>
      </c>
      <c r="AR15" s="522">
        <f>IF(AR$4&lt;&gt;1,"",COUNTIF(AR9:AR13,"ล"))</f>
        <v/>
      </c>
      <c r="AS15" s="522">
        <f>IF(AS$4&lt;&gt;1,"",COUNTIF(AS9:AS13,"ล"))</f>
        <v/>
      </c>
      <c r="AT15" s="522">
        <f>IF(AT$4&lt;&gt;1,"",COUNTIF(AT9:AT13,"ล"))</f>
        <v/>
      </c>
      <c r="AU15" s="522">
        <f>IF(AU$4&lt;&gt;1,"",COUNTIF(AU9:AU13,"ล"))</f>
        <v/>
      </c>
      <c r="AV15" s="522">
        <f>IF(AV$4&lt;&gt;1,"",COUNTIF(AV9:AV13,"ล"))</f>
        <v/>
      </c>
      <c r="AW15" s="522">
        <f>IF(AW$4&lt;&gt;1,"",COUNTIF(AW9:AW13,"ล"))</f>
        <v/>
      </c>
      <c r="AX15" s="522">
        <f>IF(AX$4&lt;&gt;1,"",COUNTIF(AX9:AX13,"ล"))</f>
        <v/>
      </c>
      <c r="AY15" s="522">
        <f>IF(AY$4&lt;&gt;1,"",COUNTIF(AY9:AY13,"ล"))</f>
        <v/>
      </c>
      <c r="AZ15" s="522">
        <f>IF(AZ$4&lt;&gt;1,"",COUNTIF(AZ9:AZ13,"ล"))</f>
        <v/>
      </c>
      <c r="BA15" s="522">
        <f>IF(BA$4&lt;&gt;1,"",COUNTIF(BA9:BA13,"ล"))</f>
        <v/>
      </c>
      <c r="BB15" s="522">
        <f>IF(BB$4&lt;&gt;1,"",COUNTIF(BB9:BB13,"ล"))</f>
        <v/>
      </c>
      <c r="BC15" s="522">
        <f>IF(BC$4&lt;&gt;1,"",COUNTIF(BC9:BC13,"ล"))</f>
        <v/>
      </c>
      <c r="BD15" s="522">
        <f>IF(BD$4&lt;&gt;1,"",COUNTIF(BD9:BD13,"ล"))</f>
        <v/>
      </c>
      <c r="BE15" s="522">
        <f>IF(BE$4&lt;&gt;1,"",COUNTIF(BE9:BE13,"ล"))</f>
        <v/>
      </c>
      <c r="BF15" s="522">
        <f>IF(BF$4&lt;&gt;1,"",COUNTIF(BF9:BF13,"ล"))</f>
        <v/>
      </c>
      <c r="BG15" s="522">
        <f>IF(BG$4&lt;&gt;1,"",COUNTIF(BG9:BG13,"ล"))</f>
        <v/>
      </c>
      <c r="BH15" s="522">
        <f>IF(BH$4&lt;&gt;1,"",COUNTIF(BH9:BH13,"ล"))</f>
        <v/>
      </c>
      <c r="BI15" s="522">
        <f>IF(BI$4&lt;&gt;1,"",COUNTIF(BI9:BI13,"ล"))</f>
        <v/>
      </c>
      <c r="BJ15" s="522">
        <f>IF(BJ$4&lt;&gt;1,"",COUNTIF(BJ9:BJ13,"ล"))</f>
        <v/>
      </c>
      <c r="BK15" s="522">
        <f>IF(BK$4&lt;&gt;1,"",COUNTIF(BK9:BK13,"ล"))</f>
        <v/>
      </c>
      <c r="BL15" s="522">
        <f>IF(BL$4&lt;&gt;1,"",COUNTIF(BL9:BL13,"ล"))</f>
        <v/>
      </c>
      <c r="BM15" s="522">
        <f>IF(BM$4&lt;&gt;1,"",COUNTIF(BM9:BM13,"ล"))</f>
        <v/>
      </c>
      <c r="BN15" s="522">
        <f>IF(BN$4&lt;&gt;1,"",COUNTIF(BN9:BN13,"ล"))</f>
        <v/>
      </c>
      <c r="BO15" s="522">
        <f>IF(BO$4&lt;&gt;1,"",COUNTIF(BO9:BO13,"ล"))</f>
        <v/>
      </c>
      <c r="BP15" s="522">
        <f>IF(BP$4&lt;&gt;1,"",COUNTIF(BP9:BP13,"ล"))</f>
        <v/>
      </c>
      <c r="BQ15" s="523" t="n"/>
      <c r="BR15" s="524" t="n"/>
      <c r="BS15" s="525" t="n"/>
      <c r="BT15" s="521">
        <f>IF(BT$4&lt;&gt;1,"",COUNTIF(BT9:BT13,"ล"))</f>
        <v/>
      </c>
      <c r="BU15" s="522">
        <f>IF(BU$4&lt;&gt;1,"",COUNTIF(BU9:BU13,"ล"))</f>
        <v/>
      </c>
      <c r="BV15" s="522">
        <f>IF(BV$4&lt;&gt;1,"",COUNTIF(BV9:BV13,"ล"))</f>
        <v/>
      </c>
      <c r="BW15" s="522">
        <f>IF(BW$4&lt;&gt;1,"",COUNTIF(BW9:BW13,"ล"))</f>
        <v/>
      </c>
      <c r="BX15" s="522">
        <f>IF(BX$4&lt;&gt;1,"",COUNTIF(BX9:BX13,"ล"))</f>
        <v/>
      </c>
      <c r="BY15" s="522">
        <f>IF(BY$4&lt;&gt;1,"",COUNTIF(BY9:BY13,"ล"))</f>
        <v/>
      </c>
      <c r="BZ15" s="522">
        <f>IF(BZ$4&lt;&gt;1,"",COUNTIF(BZ9:BZ13,"ล"))</f>
        <v/>
      </c>
      <c r="CA15" s="522">
        <f>IF(CA$4&lt;&gt;1,"",COUNTIF(CA9:CA13,"ล"))</f>
        <v/>
      </c>
      <c r="CB15" s="522">
        <f>IF(CB$4&lt;&gt;1,"",COUNTIF(CB9:CB13,"ล"))</f>
        <v/>
      </c>
      <c r="CC15" s="522">
        <f>IF(CC$4&lt;&gt;1,"",COUNTIF(CC9:CC13,"ล"))</f>
        <v/>
      </c>
      <c r="CD15" s="522">
        <f>IF(CD$4&lt;&gt;1,"",COUNTIF(CD9:CD13,"ล"))</f>
        <v/>
      </c>
      <c r="CE15" s="522">
        <f>IF(CE$4&lt;&gt;1,"",COUNTIF(CE9:CE13,"ล"))</f>
        <v/>
      </c>
      <c r="CF15" s="522">
        <f>IF(CF$4&lt;&gt;1,"",COUNTIF(CF9:CF13,"ล"))</f>
        <v/>
      </c>
      <c r="CG15" s="522">
        <f>IF(CG$4&lt;&gt;1,"",COUNTIF(CG9:CG13,"ล"))</f>
        <v/>
      </c>
      <c r="CH15" s="522">
        <f>IF(CH$4&lt;&gt;1,"",COUNTIF(CH9:CH13,"ล"))</f>
        <v/>
      </c>
      <c r="CI15" s="522">
        <f>IF(CI$4&lt;&gt;1,"",COUNTIF(CI9:CI13,"ล"))</f>
        <v/>
      </c>
      <c r="CJ15" s="522">
        <f>IF(CJ$4&lt;&gt;1,"",COUNTIF(CJ9:CJ13,"ล"))</f>
        <v/>
      </c>
      <c r="CK15" s="522">
        <f>IF(CK$4&lt;&gt;1,"",COUNTIF(CK9:CK13,"ล"))</f>
        <v/>
      </c>
      <c r="CL15" s="522">
        <f>IF(CL$4&lt;&gt;1,"",COUNTIF(CL9:CL13,"ล"))</f>
        <v/>
      </c>
      <c r="CM15" s="522">
        <f>IF(CM$4&lt;&gt;1,"",COUNTIF(CM9:CM13,"ล"))</f>
        <v/>
      </c>
      <c r="CN15" s="522">
        <f>IF(CN$4&lt;&gt;1,"",COUNTIF(CN9:CN13,"ล"))</f>
        <v/>
      </c>
      <c r="CO15" s="522">
        <f>IF(CO$4&lt;&gt;1,"",COUNTIF(CO9:CO13,"ล"))</f>
        <v/>
      </c>
      <c r="CP15" s="522">
        <f>IF(CP$4&lt;&gt;1,"",COUNTIF(CP9:CP13,"ล"))</f>
        <v/>
      </c>
      <c r="CQ15" s="522">
        <f>IF(CQ$4&lt;&gt;1,"",COUNTIF(CQ9:CQ13,"ล"))</f>
        <v/>
      </c>
      <c r="CR15" s="522">
        <f>IF(CR$4&lt;&gt;1,"",COUNTIF(CR9:CR13,"ล"))</f>
        <v/>
      </c>
      <c r="CS15" s="522">
        <f>IF(CS$4&lt;&gt;1,"",COUNTIF(CS9:CS13,"ล"))</f>
        <v/>
      </c>
      <c r="CT15" s="522">
        <f>IF(CT$4&lt;&gt;1,"",COUNTIF(CT9:CT13,"ล"))</f>
        <v/>
      </c>
      <c r="CU15" s="522">
        <f>IF(CU$4&lt;&gt;1,"",COUNTIF(CU9:CU13,"ล"))</f>
        <v/>
      </c>
      <c r="CV15" s="522">
        <f>IF(CV$4&lt;&gt;1,"",COUNTIF(CV9:CV13,"ล"))</f>
        <v/>
      </c>
      <c r="CW15" s="522">
        <f>IF(CW$4&lt;&gt;1,"",COUNTIF(CW9:CW13,"ล"))</f>
        <v/>
      </c>
      <c r="CX15" s="522">
        <f>IF(CX$4&lt;&gt;1,"",COUNTIF(CX9:CX13,"ล"))</f>
        <v/>
      </c>
      <c r="CY15" s="523" t="n"/>
      <c r="CZ15" s="524" t="n"/>
      <c r="DA15" s="525" t="n"/>
      <c r="DB15" s="521">
        <f>IF(DB$4&lt;&gt;1,"",COUNTIF(DB9:DB13,"ล"))</f>
        <v/>
      </c>
      <c r="DC15" s="522">
        <f>IF(DC$4&lt;&gt;1,"",COUNTIF(DC9:DC13,"ล"))</f>
        <v/>
      </c>
      <c r="DD15" s="522">
        <f>IF(DD$4&lt;&gt;1,"",COUNTIF(DD9:DD13,"ล"))</f>
        <v/>
      </c>
      <c r="DE15" s="522">
        <f>IF(DE$4&lt;&gt;1,"",COUNTIF(DE9:DE13,"ล"))</f>
        <v/>
      </c>
      <c r="DF15" s="522">
        <f>IF(DF$4&lt;&gt;1,"",COUNTIF(DF9:DF13,"ล"))</f>
        <v/>
      </c>
      <c r="DG15" s="522">
        <f>IF(DG$4&lt;&gt;1,"",COUNTIF(DG9:DG13,"ล"))</f>
        <v/>
      </c>
      <c r="DH15" s="522">
        <f>IF(DH$4&lt;&gt;1,"",COUNTIF(DH9:DH13,"ล"))</f>
        <v/>
      </c>
      <c r="DI15" s="522">
        <f>IF(DI$4&lt;&gt;1,"",COUNTIF(DI9:DI13,"ล"))</f>
        <v/>
      </c>
      <c r="DJ15" s="522">
        <f>IF(DJ$4&lt;&gt;1,"",COUNTIF(DJ9:DJ13,"ล"))</f>
        <v/>
      </c>
      <c r="DK15" s="522">
        <f>IF(DK$4&lt;&gt;1,"",COUNTIF(DK9:DK13,"ล"))</f>
        <v/>
      </c>
      <c r="DL15" s="522">
        <f>IF(DL$4&lt;&gt;1,"",COUNTIF(DL9:DL13,"ล"))</f>
        <v/>
      </c>
      <c r="DM15" s="522">
        <f>IF(DM$4&lt;&gt;1,"",COUNTIF(DM9:DM13,"ล"))</f>
        <v/>
      </c>
      <c r="DN15" s="522">
        <f>IF(DN$4&lt;&gt;1,"",COUNTIF(DN9:DN13,"ล"))</f>
        <v/>
      </c>
      <c r="DO15" s="522">
        <f>IF(DO$4&lt;&gt;1,"",COUNTIF(DO9:DO13,"ล"))</f>
        <v/>
      </c>
      <c r="DP15" s="522">
        <f>IF(DP$4&lt;&gt;1,"",COUNTIF(DP9:DP13,"ล"))</f>
        <v/>
      </c>
      <c r="DQ15" s="522">
        <f>IF(DQ$4&lt;&gt;1,"",COUNTIF(DQ9:DQ13,"ล"))</f>
        <v/>
      </c>
      <c r="DR15" s="522">
        <f>IF(DR$4&lt;&gt;1,"",COUNTIF(DR9:DR13,"ล"))</f>
        <v/>
      </c>
      <c r="DS15" s="522">
        <f>IF(DS$4&lt;&gt;1,"",COUNTIF(DS9:DS13,"ล"))</f>
        <v/>
      </c>
      <c r="DT15" s="522">
        <f>IF(DT$4&lt;&gt;1,"",COUNTIF(DT9:DT13,"ล"))</f>
        <v/>
      </c>
      <c r="DU15" s="522">
        <f>IF(DU$4&lt;&gt;1,"",COUNTIF(DU9:DU13,"ล"))</f>
        <v/>
      </c>
      <c r="DV15" s="522">
        <f>IF(DV$4&lt;&gt;1,"",COUNTIF(DV9:DV13,"ล"))</f>
        <v/>
      </c>
      <c r="DW15" s="522">
        <f>IF(DW$4&lt;&gt;1,"",COUNTIF(DW9:DW13,"ล"))</f>
        <v/>
      </c>
      <c r="DX15" s="522">
        <f>IF(DX$4&lt;&gt;1,"",COUNTIF(DX9:DX13,"ล"))</f>
        <v/>
      </c>
      <c r="DY15" s="522">
        <f>IF(DY$4&lt;&gt;1,"",COUNTIF(DY9:DY13,"ล"))</f>
        <v/>
      </c>
      <c r="DZ15" s="522">
        <f>IF(DZ$4&lt;&gt;1,"",COUNTIF(DZ9:DZ13,"ล"))</f>
        <v/>
      </c>
      <c r="EA15" s="522">
        <f>IF(EA$4&lt;&gt;1,"",COUNTIF(EA9:EA13,"ล"))</f>
        <v/>
      </c>
      <c r="EB15" s="522">
        <f>IF(EB$4&lt;&gt;1,"",COUNTIF(EB9:EB13,"ล"))</f>
        <v/>
      </c>
      <c r="EC15" s="522">
        <f>IF(EC$4&lt;&gt;1,"",COUNTIF(EC9:EC13,"ล"))</f>
        <v/>
      </c>
      <c r="ED15" s="522">
        <f>IF(ED$4&lt;&gt;1,"",COUNTIF(ED9:ED13,"ล"))</f>
        <v/>
      </c>
      <c r="EE15" s="522">
        <f>IF(EE$4&lt;&gt;1,"",COUNTIF(EE9:EE13,"ล"))</f>
        <v/>
      </c>
      <c r="EF15" s="522">
        <f>IF(EF$4&lt;&gt;1,"",COUNTIF(EF9:EF13,"ล"))</f>
        <v/>
      </c>
      <c r="EG15" s="523" t="n"/>
      <c r="EH15" s="524" t="n"/>
      <c r="EI15" s="525" t="n"/>
      <c r="EJ15" s="521">
        <f>IF(EJ$4&lt;&gt;1,"",COUNTIF(EJ9:EJ13,"ล"))</f>
        <v/>
      </c>
      <c r="EK15" s="522">
        <f>IF(EK$4&lt;&gt;1,"",COUNTIF(EK9:EK13,"ล"))</f>
        <v/>
      </c>
      <c r="EL15" s="522">
        <f>IF(EL$4&lt;&gt;1,"",COUNTIF(EL9:EL13,"ล"))</f>
        <v/>
      </c>
      <c r="EM15" s="522">
        <f>IF(EM$4&lt;&gt;1,"",COUNTIF(EM9:EM13,"ล"))</f>
        <v/>
      </c>
      <c r="EN15" s="522">
        <f>IF(EN$4&lt;&gt;1,"",COUNTIF(EN9:EN13,"ล"))</f>
        <v/>
      </c>
      <c r="EO15" s="522">
        <f>IF(EO$4&lt;&gt;1,"",COUNTIF(EO9:EO13,"ล"))</f>
        <v/>
      </c>
      <c r="EP15" s="522">
        <f>IF(EP$4&lt;&gt;1,"",COUNTIF(EP9:EP13,"ล"))</f>
        <v/>
      </c>
      <c r="EQ15" s="522">
        <f>IF(EQ$4&lt;&gt;1,"",COUNTIF(EQ9:EQ13,"ล"))</f>
        <v/>
      </c>
      <c r="ER15" s="522">
        <f>IF(ER$4&lt;&gt;1,"",COUNTIF(ER9:ER13,"ล"))</f>
        <v/>
      </c>
      <c r="ES15" s="522">
        <f>IF(ES$4&lt;&gt;1,"",COUNTIF(ES9:ES13,"ล"))</f>
        <v/>
      </c>
      <c r="ET15" s="522">
        <f>IF(ET$4&lt;&gt;1,"",COUNTIF(ET9:ET13,"ล"))</f>
        <v/>
      </c>
      <c r="EU15" s="522">
        <f>IF(EU$4&lt;&gt;1,"",COUNTIF(EU9:EU13,"ล"))</f>
        <v/>
      </c>
      <c r="EV15" s="522">
        <f>IF(EV$4&lt;&gt;1,"",COUNTIF(EV9:EV13,"ล"))</f>
        <v/>
      </c>
      <c r="EW15" s="522">
        <f>IF(EW$4&lt;&gt;1,"",COUNTIF(EW9:EW13,"ล"))</f>
        <v/>
      </c>
      <c r="EX15" s="522">
        <f>IF(EX$4&lt;&gt;1,"",COUNTIF(EX9:EX13,"ล"))</f>
        <v/>
      </c>
      <c r="EY15" s="522">
        <f>IF(EY$4&lt;&gt;1,"",COUNTIF(EY9:EY13,"ล"))</f>
        <v/>
      </c>
      <c r="EZ15" s="522">
        <f>IF(EZ$4&lt;&gt;1,"",COUNTIF(EZ9:EZ13,"ล"))</f>
        <v/>
      </c>
      <c r="FA15" s="522">
        <f>IF(FA$4&lt;&gt;1,"",COUNTIF(FA9:FA13,"ล"))</f>
        <v/>
      </c>
      <c r="FB15" s="522">
        <f>IF(FB$4&lt;&gt;1,"",COUNTIF(FB9:FB13,"ล"))</f>
        <v/>
      </c>
      <c r="FC15" s="522">
        <f>IF(FC$4&lt;&gt;1,"",COUNTIF(FC9:FC13,"ล"))</f>
        <v/>
      </c>
      <c r="FD15" s="522">
        <f>IF(FD$4&lt;&gt;1,"",COUNTIF(FD9:FD13,"ล"))</f>
        <v/>
      </c>
      <c r="FE15" s="522">
        <f>IF(FE$4&lt;&gt;1,"",COUNTIF(FE9:FE13,"ล"))</f>
        <v/>
      </c>
      <c r="FF15" s="522">
        <f>IF(FF$4&lt;&gt;1,"",COUNTIF(FF9:FF13,"ล"))</f>
        <v/>
      </c>
      <c r="FG15" s="522">
        <f>IF(FG$4&lt;&gt;1,"",COUNTIF(FG9:FG13,"ล"))</f>
        <v/>
      </c>
      <c r="FH15" s="522">
        <f>IF(FH$4&lt;&gt;1,"",COUNTIF(FH9:FH13,"ล"))</f>
        <v/>
      </c>
      <c r="FI15" s="522">
        <f>IF(FI$4&lt;&gt;1,"",COUNTIF(FI9:FI13,"ล"))</f>
        <v/>
      </c>
      <c r="FJ15" s="522">
        <f>IF(FJ$4&lt;&gt;1,"",COUNTIF(FJ9:FJ13,"ล"))</f>
        <v/>
      </c>
      <c r="FK15" s="522">
        <f>IF(FK$4&lt;&gt;1,"",COUNTIF(FK9:FK13,"ล"))</f>
        <v/>
      </c>
      <c r="FL15" s="522">
        <f>IF(FL$4&lt;&gt;1,"",COUNTIF(FL9:FL13,"ล"))</f>
        <v/>
      </c>
      <c r="FM15" s="522">
        <f>IF(FM$4&lt;&gt;1,"",COUNTIF(FM9:FM13,"ล"))</f>
        <v/>
      </c>
      <c r="FN15" s="522">
        <f>IF(FN$4&lt;&gt;1,"",COUNTIF(FN9:FN13,"ล"))</f>
        <v/>
      </c>
      <c r="FO15" s="523" t="n"/>
      <c r="FP15" s="524" t="n"/>
      <c r="FQ15" s="525" t="n"/>
      <c r="FR15" s="521">
        <f>IF(FR$4&lt;&gt;1,"",COUNTIF(FR9:FR13,"ล"))</f>
        <v/>
      </c>
      <c r="FS15" s="522">
        <f>IF(FS$4&lt;&gt;1,"",COUNTIF(FS9:FS13,"ล"))</f>
        <v/>
      </c>
      <c r="FT15" s="522">
        <f>IF(FT$4&lt;&gt;1,"",COUNTIF(FT9:FT13,"ล"))</f>
        <v/>
      </c>
      <c r="FU15" s="522">
        <f>IF(FU$4&lt;&gt;1,"",COUNTIF(FU9:FU13,"ล"))</f>
        <v/>
      </c>
      <c r="FV15" s="522">
        <f>IF(FV$4&lt;&gt;1,"",COUNTIF(FV9:FV13,"ล"))</f>
        <v/>
      </c>
      <c r="FW15" s="522">
        <f>IF(FW$4&lt;&gt;1,"",COUNTIF(FW9:FW13,"ล"))</f>
        <v/>
      </c>
      <c r="FX15" s="522">
        <f>IF(FX$4&lt;&gt;1,"",COUNTIF(FX9:FX13,"ล"))</f>
        <v/>
      </c>
      <c r="FY15" s="522">
        <f>IF(FY$4&lt;&gt;1,"",COUNTIF(FY9:FY13,"ล"))</f>
        <v/>
      </c>
      <c r="FZ15" s="522">
        <f>IF(FZ$4&lt;&gt;1,"",COUNTIF(FZ9:FZ13,"ล"))</f>
        <v/>
      </c>
      <c r="GA15" s="522">
        <f>IF(GA$4&lt;&gt;1,"",COUNTIF(GA9:GA13,"ล"))</f>
        <v/>
      </c>
      <c r="GB15" s="522">
        <f>IF(GB$4&lt;&gt;1,"",COUNTIF(GB9:GB13,"ล"))</f>
        <v/>
      </c>
      <c r="GC15" s="522">
        <f>IF(GC$4&lt;&gt;1,"",COUNTIF(GC9:GC13,"ล"))</f>
        <v/>
      </c>
      <c r="GD15" s="522">
        <f>IF(GD$4&lt;&gt;1,"",COUNTIF(GD9:GD13,"ล"))</f>
        <v/>
      </c>
      <c r="GE15" s="522">
        <f>IF(GE$4&lt;&gt;1,"",COUNTIF(GE9:GE13,"ล"))</f>
        <v/>
      </c>
      <c r="GF15" s="522">
        <f>IF(GF$4&lt;&gt;1,"",COUNTIF(GF9:GF13,"ล"))</f>
        <v/>
      </c>
      <c r="GG15" s="522">
        <f>IF(GG$4&lt;&gt;1,"",COUNTIF(GG9:GG13,"ล"))</f>
        <v/>
      </c>
      <c r="GH15" s="522">
        <f>IF(GH$4&lt;&gt;1,"",COUNTIF(GH9:GH13,"ล"))</f>
        <v/>
      </c>
      <c r="GI15" s="522">
        <f>IF(GI$4&lt;&gt;1,"",COUNTIF(GI9:GI13,"ล"))</f>
        <v/>
      </c>
      <c r="GJ15" s="522">
        <f>IF(GJ$4&lt;&gt;1,"",COUNTIF(GJ9:GJ13,"ล"))</f>
        <v/>
      </c>
      <c r="GK15" s="522">
        <f>IF(GK$4&lt;&gt;1,"",COUNTIF(GK9:GK13,"ล"))</f>
        <v/>
      </c>
      <c r="GL15" s="522">
        <f>IF(GL$4&lt;&gt;1,"",COUNTIF(GL9:GL13,"ล"))</f>
        <v/>
      </c>
      <c r="GM15" s="522">
        <f>IF(GM$4&lt;&gt;1,"",COUNTIF(GM9:GM13,"ล"))</f>
        <v/>
      </c>
      <c r="GN15" s="522">
        <f>IF(GN$4&lt;&gt;1,"",COUNTIF(GN9:GN13,"ล"))</f>
        <v/>
      </c>
      <c r="GO15" s="522">
        <f>IF(GO$4&lt;&gt;1,"",COUNTIF(GO9:GO13,"ล"))</f>
        <v/>
      </c>
      <c r="GP15" s="522">
        <f>IF(GP$4&lt;&gt;1,"",COUNTIF(GP9:GP13,"ล"))</f>
        <v/>
      </c>
      <c r="GQ15" s="522">
        <f>IF(GQ$4&lt;&gt;1,"",COUNTIF(GQ9:GQ13,"ล"))</f>
        <v/>
      </c>
      <c r="GR15" s="522">
        <f>IF(GR$4&lt;&gt;1,"",COUNTIF(GR9:GR13,"ล"))</f>
        <v/>
      </c>
      <c r="GS15" s="522">
        <f>IF(GS$4&lt;&gt;1,"",COUNTIF(GS9:GS13,"ล"))</f>
        <v/>
      </c>
      <c r="GT15" s="522">
        <f>IF(GT$4&lt;&gt;1,"",COUNTIF(GT9:GT13,"ล"))</f>
        <v/>
      </c>
      <c r="GU15" s="522">
        <f>IF(GU$4&lt;&gt;1,"",COUNTIF(GU9:GU13,"ล"))</f>
        <v/>
      </c>
      <c r="GV15" s="522">
        <f>IF(GV$4&lt;&gt;1,"",COUNTIF(GV9:GV13,"ล"))</f>
        <v/>
      </c>
      <c r="GW15" s="523" t="n"/>
      <c r="GX15" s="524" t="n"/>
      <c r="GY15" s="525" t="n"/>
    </row>
    <row r="16">
      <c r="A16" s="520" t="inlineStr">
        <is>
          <t>งด / ไม่ทาน (คน)</t>
        </is>
      </c>
      <c r="B16" s="184" t="n"/>
      <c r="C16" s="184" t="n"/>
      <c r="D16" s="521">
        <f>IF(D$4&lt;&gt;1,"",COUNTIF(D9:D13,"ง"))</f>
        <v/>
      </c>
      <c r="E16" s="522">
        <f>IF(E$4&lt;&gt;1,"",COUNTIF(E9:E13,"ง"))</f>
        <v/>
      </c>
      <c r="F16" s="522">
        <f>IF(F$4&lt;&gt;1,"",COUNTIF(F9:F13,"ง"))</f>
        <v/>
      </c>
      <c r="G16" s="522">
        <f>IF(G$4&lt;&gt;1,"",COUNTIF(G9:G13,"ง"))</f>
        <v/>
      </c>
      <c r="H16" s="522">
        <f>IF(H$4&lt;&gt;1,"",COUNTIF(H9:H13,"ง"))</f>
        <v/>
      </c>
      <c r="I16" s="522">
        <f>IF(I$4&lt;&gt;1,"",COUNTIF(I9:I13,"ง"))</f>
        <v/>
      </c>
      <c r="J16" s="522">
        <f>IF(J$4&lt;&gt;1,"",COUNTIF(J9:J13,"ง"))</f>
        <v/>
      </c>
      <c r="K16" s="522">
        <f>IF(K$4&lt;&gt;1,"",COUNTIF(K9:K13,"ง"))</f>
        <v/>
      </c>
      <c r="L16" s="522">
        <f>IF(L$4&lt;&gt;1,"",COUNTIF(L9:L13,"ง"))</f>
        <v/>
      </c>
      <c r="M16" s="522">
        <f>IF(M$4&lt;&gt;1,"",COUNTIF(M9:M13,"ง"))</f>
        <v/>
      </c>
      <c r="N16" s="522">
        <f>IF(N$4&lt;&gt;1,"",COUNTIF(N9:N13,"ง"))</f>
        <v/>
      </c>
      <c r="O16" s="522">
        <f>IF(O$4&lt;&gt;1,"",COUNTIF(O9:O13,"ง"))</f>
        <v/>
      </c>
      <c r="P16" s="522">
        <f>IF(P$4&lt;&gt;1,"",COUNTIF(P9:P13,"ง"))</f>
        <v/>
      </c>
      <c r="Q16" s="522">
        <f>IF(Q$4&lt;&gt;1,"",COUNTIF(Q9:Q13,"ง"))</f>
        <v/>
      </c>
      <c r="R16" s="522">
        <f>IF(R$4&lt;&gt;1,"",COUNTIF(R9:R13,"ง"))</f>
        <v/>
      </c>
      <c r="S16" s="522">
        <f>IF(S$4&lt;&gt;1,"",COUNTIF(S9:S13,"ง"))</f>
        <v/>
      </c>
      <c r="T16" s="522">
        <f>IF(T$4&lt;&gt;1,"",COUNTIF(T9:T13,"ง"))</f>
        <v/>
      </c>
      <c r="U16" s="522">
        <f>IF(U$4&lt;&gt;1,"",COUNTIF(U9:U13,"ง"))</f>
        <v/>
      </c>
      <c r="V16" s="522">
        <f>IF(V$4&lt;&gt;1,"",COUNTIF(V9:V13,"ง"))</f>
        <v/>
      </c>
      <c r="W16" s="522">
        <f>IF(W$4&lt;&gt;1,"",COUNTIF(W9:W13,"ง"))</f>
        <v/>
      </c>
      <c r="X16" s="522">
        <f>IF(X$4&lt;&gt;1,"",COUNTIF(X9:X13,"ง"))</f>
        <v/>
      </c>
      <c r="Y16" s="522">
        <f>IF(Y$4&lt;&gt;1,"",COUNTIF(Y9:Y13,"ง"))</f>
        <v/>
      </c>
      <c r="Z16" s="522">
        <f>IF(Z$4&lt;&gt;1,"",COUNTIF(Z9:Z13,"ง"))</f>
        <v/>
      </c>
      <c r="AA16" s="522">
        <f>IF(AA$4&lt;&gt;1,"",COUNTIF(AA9:AA13,"ง"))</f>
        <v/>
      </c>
      <c r="AB16" s="522">
        <f>IF(AB$4&lt;&gt;1,"",COUNTIF(AB9:AB13,"ง"))</f>
        <v/>
      </c>
      <c r="AC16" s="522">
        <f>IF(AC$4&lt;&gt;1,"",COUNTIF(AC9:AC13,"ง"))</f>
        <v/>
      </c>
      <c r="AD16" s="522">
        <f>IF(AD$4&lt;&gt;1,"",COUNTIF(AD9:AD13,"ง"))</f>
        <v/>
      </c>
      <c r="AE16" s="522">
        <f>IF(AE$4&lt;&gt;1,"",COUNTIF(AE9:AE13,"ง"))</f>
        <v/>
      </c>
      <c r="AF16" s="522">
        <f>IF(AF$4&lt;&gt;1,"",COUNTIF(AF9:AF13,"ง"))</f>
        <v/>
      </c>
      <c r="AG16" s="522">
        <f>IF(AG$4&lt;&gt;1,"",COUNTIF(AG9:AG13,"ง"))</f>
        <v/>
      </c>
      <c r="AH16" s="522">
        <f>IF(AH$4&lt;&gt;1,"",COUNTIF(AH9:AH13,"ง"))</f>
        <v/>
      </c>
      <c r="AI16" s="523" t="n"/>
      <c r="AJ16" s="524" t="n"/>
      <c r="AK16" s="525" t="n"/>
      <c r="AL16" s="521">
        <f>IF(AL$4&lt;&gt;1,"",COUNTIF(AL9:AL13,"ง"))</f>
        <v/>
      </c>
      <c r="AM16" s="522">
        <f>IF(AM$4&lt;&gt;1,"",COUNTIF(AM9:AM13,"ง"))</f>
        <v/>
      </c>
      <c r="AN16" s="522">
        <f>IF(AN$4&lt;&gt;1,"",COUNTIF(AN9:AN13,"ง"))</f>
        <v/>
      </c>
      <c r="AO16" s="522">
        <f>IF(AO$4&lt;&gt;1,"",COUNTIF(AO9:AO13,"ง"))</f>
        <v/>
      </c>
      <c r="AP16" s="522">
        <f>IF(AP$4&lt;&gt;1,"",COUNTIF(AP9:AP13,"ง"))</f>
        <v/>
      </c>
      <c r="AQ16" s="522">
        <f>IF(AQ$4&lt;&gt;1,"",COUNTIF(AQ9:AQ13,"ง"))</f>
        <v/>
      </c>
      <c r="AR16" s="522">
        <f>IF(AR$4&lt;&gt;1,"",COUNTIF(AR9:AR13,"ง"))</f>
        <v/>
      </c>
      <c r="AS16" s="522">
        <f>IF(AS$4&lt;&gt;1,"",COUNTIF(AS9:AS13,"ง"))</f>
        <v/>
      </c>
      <c r="AT16" s="522">
        <f>IF(AT$4&lt;&gt;1,"",COUNTIF(AT9:AT13,"ง"))</f>
        <v/>
      </c>
      <c r="AU16" s="522">
        <f>IF(AU$4&lt;&gt;1,"",COUNTIF(AU9:AU13,"ง"))</f>
        <v/>
      </c>
      <c r="AV16" s="522">
        <f>IF(AV$4&lt;&gt;1,"",COUNTIF(AV9:AV13,"ง"))</f>
        <v/>
      </c>
      <c r="AW16" s="522">
        <f>IF(AW$4&lt;&gt;1,"",COUNTIF(AW9:AW13,"ง"))</f>
        <v/>
      </c>
      <c r="AX16" s="522">
        <f>IF(AX$4&lt;&gt;1,"",COUNTIF(AX9:AX13,"ง"))</f>
        <v/>
      </c>
      <c r="AY16" s="522">
        <f>IF(AY$4&lt;&gt;1,"",COUNTIF(AY9:AY13,"ง"))</f>
        <v/>
      </c>
      <c r="AZ16" s="522">
        <f>IF(AZ$4&lt;&gt;1,"",COUNTIF(AZ9:AZ13,"ง"))</f>
        <v/>
      </c>
      <c r="BA16" s="522">
        <f>IF(BA$4&lt;&gt;1,"",COUNTIF(BA9:BA13,"ง"))</f>
        <v/>
      </c>
      <c r="BB16" s="522">
        <f>IF(BB$4&lt;&gt;1,"",COUNTIF(BB9:BB13,"ง"))</f>
        <v/>
      </c>
      <c r="BC16" s="522">
        <f>IF(BC$4&lt;&gt;1,"",COUNTIF(BC9:BC13,"ง"))</f>
        <v/>
      </c>
      <c r="BD16" s="522">
        <f>IF(BD$4&lt;&gt;1,"",COUNTIF(BD9:BD13,"ง"))</f>
        <v/>
      </c>
      <c r="BE16" s="522">
        <f>IF(BE$4&lt;&gt;1,"",COUNTIF(BE9:BE13,"ง"))</f>
        <v/>
      </c>
      <c r="BF16" s="522">
        <f>IF(BF$4&lt;&gt;1,"",COUNTIF(BF9:BF13,"ง"))</f>
        <v/>
      </c>
      <c r="BG16" s="522">
        <f>IF(BG$4&lt;&gt;1,"",COUNTIF(BG9:BG13,"ง"))</f>
        <v/>
      </c>
      <c r="BH16" s="522">
        <f>IF(BH$4&lt;&gt;1,"",COUNTIF(BH9:BH13,"ง"))</f>
        <v/>
      </c>
      <c r="BI16" s="522">
        <f>IF(BI$4&lt;&gt;1,"",COUNTIF(BI9:BI13,"ง"))</f>
        <v/>
      </c>
      <c r="BJ16" s="522">
        <f>IF(BJ$4&lt;&gt;1,"",COUNTIF(BJ9:BJ13,"ง"))</f>
        <v/>
      </c>
      <c r="BK16" s="522">
        <f>IF(BK$4&lt;&gt;1,"",COUNTIF(BK9:BK13,"ง"))</f>
        <v/>
      </c>
      <c r="BL16" s="522">
        <f>IF(BL$4&lt;&gt;1,"",COUNTIF(BL9:BL13,"ง"))</f>
        <v/>
      </c>
      <c r="BM16" s="522">
        <f>IF(BM$4&lt;&gt;1,"",COUNTIF(BM9:BM13,"ง"))</f>
        <v/>
      </c>
      <c r="BN16" s="522">
        <f>IF(BN$4&lt;&gt;1,"",COUNTIF(BN9:BN13,"ง"))</f>
        <v/>
      </c>
      <c r="BO16" s="522">
        <f>IF(BO$4&lt;&gt;1,"",COUNTIF(BO9:BO13,"ง"))</f>
        <v/>
      </c>
      <c r="BP16" s="522">
        <f>IF(BP$4&lt;&gt;1,"",COUNTIF(BP9:BP13,"ง"))</f>
        <v/>
      </c>
      <c r="BQ16" s="523" t="n"/>
      <c r="BR16" s="524" t="n"/>
      <c r="BS16" s="525" t="n"/>
      <c r="BT16" s="521">
        <f>IF(BT$4&lt;&gt;1,"",COUNTIF(BT9:BT13,"ง"))</f>
        <v/>
      </c>
      <c r="BU16" s="522">
        <f>IF(BU$4&lt;&gt;1,"",COUNTIF(BU9:BU13,"ง"))</f>
        <v/>
      </c>
      <c r="BV16" s="522">
        <f>IF(BV$4&lt;&gt;1,"",COUNTIF(BV9:BV13,"ง"))</f>
        <v/>
      </c>
      <c r="BW16" s="522">
        <f>IF(BW$4&lt;&gt;1,"",COUNTIF(BW9:BW13,"ง"))</f>
        <v/>
      </c>
      <c r="BX16" s="522">
        <f>IF(BX$4&lt;&gt;1,"",COUNTIF(BX9:BX13,"ง"))</f>
        <v/>
      </c>
      <c r="BY16" s="522">
        <f>IF(BY$4&lt;&gt;1,"",COUNTIF(BY9:BY13,"ง"))</f>
        <v/>
      </c>
      <c r="BZ16" s="522">
        <f>IF(BZ$4&lt;&gt;1,"",COUNTIF(BZ9:BZ13,"ง"))</f>
        <v/>
      </c>
      <c r="CA16" s="522">
        <f>IF(CA$4&lt;&gt;1,"",COUNTIF(CA9:CA13,"ง"))</f>
        <v/>
      </c>
      <c r="CB16" s="522">
        <f>IF(CB$4&lt;&gt;1,"",COUNTIF(CB9:CB13,"ง"))</f>
        <v/>
      </c>
      <c r="CC16" s="522">
        <f>IF(CC$4&lt;&gt;1,"",COUNTIF(CC9:CC13,"ง"))</f>
        <v/>
      </c>
      <c r="CD16" s="522">
        <f>IF(CD$4&lt;&gt;1,"",COUNTIF(CD9:CD13,"ง"))</f>
        <v/>
      </c>
      <c r="CE16" s="522">
        <f>IF(CE$4&lt;&gt;1,"",COUNTIF(CE9:CE13,"ง"))</f>
        <v/>
      </c>
      <c r="CF16" s="522">
        <f>IF(CF$4&lt;&gt;1,"",COUNTIF(CF9:CF13,"ง"))</f>
        <v/>
      </c>
      <c r="CG16" s="522">
        <f>IF(CG$4&lt;&gt;1,"",COUNTIF(CG9:CG13,"ง"))</f>
        <v/>
      </c>
      <c r="CH16" s="522">
        <f>IF(CH$4&lt;&gt;1,"",COUNTIF(CH9:CH13,"ง"))</f>
        <v/>
      </c>
      <c r="CI16" s="522">
        <f>IF(CI$4&lt;&gt;1,"",COUNTIF(CI9:CI13,"ง"))</f>
        <v/>
      </c>
      <c r="CJ16" s="522">
        <f>IF(CJ$4&lt;&gt;1,"",COUNTIF(CJ9:CJ13,"ง"))</f>
        <v/>
      </c>
      <c r="CK16" s="522">
        <f>IF(CK$4&lt;&gt;1,"",COUNTIF(CK9:CK13,"ง"))</f>
        <v/>
      </c>
      <c r="CL16" s="522">
        <f>IF(CL$4&lt;&gt;1,"",COUNTIF(CL9:CL13,"ง"))</f>
        <v/>
      </c>
      <c r="CM16" s="522">
        <f>IF(CM$4&lt;&gt;1,"",COUNTIF(CM9:CM13,"ง"))</f>
        <v/>
      </c>
      <c r="CN16" s="522">
        <f>IF(CN$4&lt;&gt;1,"",COUNTIF(CN9:CN13,"ง"))</f>
        <v/>
      </c>
      <c r="CO16" s="522">
        <f>IF(CO$4&lt;&gt;1,"",COUNTIF(CO9:CO13,"ง"))</f>
        <v/>
      </c>
      <c r="CP16" s="522">
        <f>IF(CP$4&lt;&gt;1,"",COUNTIF(CP9:CP13,"ง"))</f>
        <v/>
      </c>
      <c r="CQ16" s="522">
        <f>IF(CQ$4&lt;&gt;1,"",COUNTIF(CQ9:CQ13,"ง"))</f>
        <v/>
      </c>
      <c r="CR16" s="522">
        <f>IF(CR$4&lt;&gt;1,"",COUNTIF(CR9:CR13,"ง"))</f>
        <v/>
      </c>
      <c r="CS16" s="522">
        <f>IF(CS$4&lt;&gt;1,"",COUNTIF(CS9:CS13,"ง"))</f>
        <v/>
      </c>
      <c r="CT16" s="522">
        <f>IF(CT$4&lt;&gt;1,"",COUNTIF(CT9:CT13,"ง"))</f>
        <v/>
      </c>
      <c r="CU16" s="522">
        <f>IF(CU$4&lt;&gt;1,"",COUNTIF(CU9:CU13,"ง"))</f>
        <v/>
      </c>
      <c r="CV16" s="522">
        <f>IF(CV$4&lt;&gt;1,"",COUNTIF(CV9:CV13,"ง"))</f>
        <v/>
      </c>
      <c r="CW16" s="522">
        <f>IF(CW$4&lt;&gt;1,"",COUNTIF(CW9:CW13,"ง"))</f>
        <v/>
      </c>
      <c r="CX16" s="522">
        <f>IF(CX$4&lt;&gt;1,"",COUNTIF(CX9:CX13,"ง"))</f>
        <v/>
      </c>
      <c r="CY16" s="523" t="n"/>
      <c r="CZ16" s="524" t="n"/>
      <c r="DA16" s="525" t="n"/>
      <c r="DB16" s="521">
        <f>IF(DB$4&lt;&gt;1,"",COUNTIF(DB9:DB13,"ง"))</f>
        <v/>
      </c>
      <c r="DC16" s="522">
        <f>IF(DC$4&lt;&gt;1,"",COUNTIF(DC9:DC13,"ง"))</f>
        <v/>
      </c>
      <c r="DD16" s="522">
        <f>IF(DD$4&lt;&gt;1,"",COUNTIF(DD9:DD13,"ง"))</f>
        <v/>
      </c>
      <c r="DE16" s="522">
        <f>IF(DE$4&lt;&gt;1,"",COUNTIF(DE9:DE13,"ง"))</f>
        <v/>
      </c>
      <c r="DF16" s="522">
        <f>IF(DF$4&lt;&gt;1,"",COUNTIF(DF9:DF13,"ง"))</f>
        <v/>
      </c>
      <c r="DG16" s="522">
        <f>IF(DG$4&lt;&gt;1,"",COUNTIF(DG9:DG13,"ง"))</f>
        <v/>
      </c>
      <c r="DH16" s="522">
        <f>IF(DH$4&lt;&gt;1,"",COUNTIF(DH9:DH13,"ง"))</f>
        <v/>
      </c>
      <c r="DI16" s="522">
        <f>IF(DI$4&lt;&gt;1,"",COUNTIF(DI9:DI13,"ง"))</f>
        <v/>
      </c>
      <c r="DJ16" s="522">
        <f>IF(DJ$4&lt;&gt;1,"",COUNTIF(DJ9:DJ13,"ง"))</f>
        <v/>
      </c>
      <c r="DK16" s="522">
        <f>IF(DK$4&lt;&gt;1,"",COUNTIF(DK9:DK13,"ง"))</f>
        <v/>
      </c>
      <c r="DL16" s="522">
        <f>IF(DL$4&lt;&gt;1,"",COUNTIF(DL9:DL13,"ง"))</f>
        <v/>
      </c>
      <c r="DM16" s="522">
        <f>IF(DM$4&lt;&gt;1,"",COUNTIF(DM9:DM13,"ง"))</f>
        <v/>
      </c>
      <c r="DN16" s="522">
        <f>IF(DN$4&lt;&gt;1,"",COUNTIF(DN9:DN13,"ง"))</f>
        <v/>
      </c>
      <c r="DO16" s="522">
        <f>IF(DO$4&lt;&gt;1,"",COUNTIF(DO9:DO13,"ง"))</f>
        <v/>
      </c>
      <c r="DP16" s="522">
        <f>IF(DP$4&lt;&gt;1,"",COUNTIF(DP9:DP13,"ง"))</f>
        <v/>
      </c>
      <c r="DQ16" s="522">
        <f>IF(DQ$4&lt;&gt;1,"",COUNTIF(DQ9:DQ13,"ง"))</f>
        <v/>
      </c>
      <c r="DR16" s="522">
        <f>IF(DR$4&lt;&gt;1,"",COUNTIF(DR9:DR13,"ง"))</f>
        <v/>
      </c>
      <c r="DS16" s="522">
        <f>IF(DS$4&lt;&gt;1,"",COUNTIF(DS9:DS13,"ง"))</f>
        <v/>
      </c>
      <c r="DT16" s="522">
        <f>IF(DT$4&lt;&gt;1,"",COUNTIF(DT9:DT13,"ง"))</f>
        <v/>
      </c>
      <c r="DU16" s="522">
        <f>IF(DU$4&lt;&gt;1,"",COUNTIF(DU9:DU13,"ง"))</f>
        <v/>
      </c>
      <c r="DV16" s="522">
        <f>IF(DV$4&lt;&gt;1,"",COUNTIF(DV9:DV13,"ง"))</f>
        <v/>
      </c>
      <c r="DW16" s="522">
        <f>IF(DW$4&lt;&gt;1,"",COUNTIF(DW9:DW13,"ง"))</f>
        <v/>
      </c>
      <c r="DX16" s="522">
        <f>IF(DX$4&lt;&gt;1,"",COUNTIF(DX9:DX13,"ง"))</f>
        <v/>
      </c>
      <c r="DY16" s="522">
        <f>IF(DY$4&lt;&gt;1,"",COUNTIF(DY9:DY13,"ง"))</f>
        <v/>
      </c>
      <c r="DZ16" s="522">
        <f>IF(DZ$4&lt;&gt;1,"",COUNTIF(DZ9:DZ13,"ง"))</f>
        <v/>
      </c>
      <c r="EA16" s="522">
        <f>IF(EA$4&lt;&gt;1,"",COUNTIF(EA9:EA13,"ง"))</f>
        <v/>
      </c>
      <c r="EB16" s="522">
        <f>IF(EB$4&lt;&gt;1,"",COUNTIF(EB9:EB13,"ง"))</f>
        <v/>
      </c>
      <c r="EC16" s="522">
        <f>IF(EC$4&lt;&gt;1,"",COUNTIF(EC9:EC13,"ง"))</f>
        <v/>
      </c>
      <c r="ED16" s="522">
        <f>IF(ED$4&lt;&gt;1,"",COUNTIF(ED9:ED13,"ง"))</f>
        <v/>
      </c>
      <c r="EE16" s="522">
        <f>IF(EE$4&lt;&gt;1,"",COUNTIF(EE9:EE13,"ง"))</f>
        <v/>
      </c>
      <c r="EF16" s="522">
        <f>IF(EF$4&lt;&gt;1,"",COUNTIF(EF9:EF13,"ง"))</f>
        <v/>
      </c>
      <c r="EG16" s="523" t="n"/>
      <c r="EH16" s="524" t="n"/>
      <c r="EI16" s="525" t="n"/>
      <c r="EJ16" s="521">
        <f>IF(EJ$4&lt;&gt;1,"",COUNTIF(EJ9:EJ13,"ง"))</f>
        <v/>
      </c>
      <c r="EK16" s="522">
        <f>IF(EK$4&lt;&gt;1,"",COUNTIF(EK9:EK13,"ง"))</f>
        <v/>
      </c>
      <c r="EL16" s="522">
        <f>IF(EL$4&lt;&gt;1,"",COUNTIF(EL9:EL13,"ง"))</f>
        <v/>
      </c>
      <c r="EM16" s="522">
        <f>IF(EM$4&lt;&gt;1,"",COUNTIF(EM9:EM13,"ง"))</f>
        <v/>
      </c>
      <c r="EN16" s="522">
        <f>IF(EN$4&lt;&gt;1,"",COUNTIF(EN9:EN13,"ง"))</f>
        <v/>
      </c>
      <c r="EO16" s="522">
        <f>IF(EO$4&lt;&gt;1,"",COUNTIF(EO9:EO13,"ง"))</f>
        <v/>
      </c>
      <c r="EP16" s="522">
        <f>IF(EP$4&lt;&gt;1,"",COUNTIF(EP9:EP13,"ง"))</f>
        <v/>
      </c>
      <c r="EQ16" s="522">
        <f>IF(EQ$4&lt;&gt;1,"",COUNTIF(EQ9:EQ13,"ง"))</f>
        <v/>
      </c>
      <c r="ER16" s="522">
        <f>IF(ER$4&lt;&gt;1,"",COUNTIF(ER9:ER13,"ง"))</f>
        <v/>
      </c>
      <c r="ES16" s="522">
        <f>IF(ES$4&lt;&gt;1,"",COUNTIF(ES9:ES13,"ง"))</f>
        <v/>
      </c>
      <c r="ET16" s="522">
        <f>IF(ET$4&lt;&gt;1,"",COUNTIF(ET9:ET13,"ง"))</f>
        <v/>
      </c>
      <c r="EU16" s="522">
        <f>IF(EU$4&lt;&gt;1,"",COUNTIF(EU9:EU13,"ง"))</f>
        <v/>
      </c>
      <c r="EV16" s="522">
        <f>IF(EV$4&lt;&gt;1,"",COUNTIF(EV9:EV13,"ง"))</f>
        <v/>
      </c>
      <c r="EW16" s="522">
        <f>IF(EW$4&lt;&gt;1,"",COUNTIF(EW9:EW13,"ง"))</f>
        <v/>
      </c>
      <c r="EX16" s="522">
        <f>IF(EX$4&lt;&gt;1,"",COUNTIF(EX9:EX13,"ง"))</f>
        <v/>
      </c>
      <c r="EY16" s="522">
        <f>IF(EY$4&lt;&gt;1,"",COUNTIF(EY9:EY13,"ง"))</f>
        <v/>
      </c>
      <c r="EZ16" s="522">
        <f>IF(EZ$4&lt;&gt;1,"",COUNTIF(EZ9:EZ13,"ง"))</f>
        <v/>
      </c>
      <c r="FA16" s="522">
        <f>IF(FA$4&lt;&gt;1,"",COUNTIF(FA9:FA13,"ง"))</f>
        <v/>
      </c>
      <c r="FB16" s="522">
        <f>IF(FB$4&lt;&gt;1,"",COUNTIF(FB9:FB13,"ง"))</f>
        <v/>
      </c>
      <c r="FC16" s="522">
        <f>IF(FC$4&lt;&gt;1,"",COUNTIF(FC9:FC13,"ง"))</f>
        <v/>
      </c>
      <c r="FD16" s="522">
        <f>IF(FD$4&lt;&gt;1,"",COUNTIF(FD9:FD13,"ง"))</f>
        <v/>
      </c>
      <c r="FE16" s="522">
        <f>IF(FE$4&lt;&gt;1,"",COUNTIF(FE9:FE13,"ง"))</f>
        <v/>
      </c>
      <c r="FF16" s="522">
        <f>IF(FF$4&lt;&gt;1,"",COUNTIF(FF9:FF13,"ง"))</f>
        <v/>
      </c>
      <c r="FG16" s="522">
        <f>IF(FG$4&lt;&gt;1,"",COUNTIF(FG9:FG13,"ง"))</f>
        <v/>
      </c>
      <c r="FH16" s="522">
        <f>IF(FH$4&lt;&gt;1,"",COUNTIF(FH9:FH13,"ง"))</f>
        <v/>
      </c>
      <c r="FI16" s="522">
        <f>IF(FI$4&lt;&gt;1,"",COUNTIF(FI9:FI13,"ง"))</f>
        <v/>
      </c>
      <c r="FJ16" s="522">
        <f>IF(FJ$4&lt;&gt;1,"",COUNTIF(FJ9:FJ13,"ง"))</f>
        <v/>
      </c>
      <c r="FK16" s="522">
        <f>IF(FK$4&lt;&gt;1,"",COUNTIF(FK9:FK13,"ง"))</f>
        <v/>
      </c>
      <c r="FL16" s="522">
        <f>IF(FL$4&lt;&gt;1,"",COUNTIF(FL9:FL13,"ง"))</f>
        <v/>
      </c>
      <c r="FM16" s="522">
        <f>IF(FM$4&lt;&gt;1,"",COUNTIF(FM9:FM13,"ง"))</f>
        <v/>
      </c>
      <c r="FN16" s="522">
        <f>IF(FN$4&lt;&gt;1,"",COUNTIF(FN9:FN13,"ง"))</f>
        <v/>
      </c>
      <c r="FO16" s="523" t="n"/>
      <c r="FP16" s="524" t="n"/>
      <c r="FQ16" s="525" t="n"/>
      <c r="FR16" s="521">
        <f>IF(FR$4&lt;&gt;1,"",COUNTIF(FR9:FR13,"ง"))</f>
        <v/>
      </c>
      <c r="FS16" s="522">
        <f>IF(FS$4&lt;&gt;1,"",COUNTIF(FS9:FS13,"ง"))</f>
        <v/>
      </c>
      <c r="FT16" s="522">
        <f>IF(FT$4&lt;&gt;1,"",COUNTIF(FT9:FT13,"ง"))</f>
        <v/>
      </c>
      <c r="FU16" s="522">
        <f>IF(FU$4&lt;&gt;1,"",COUNTIF(FU9:FU13,"ง"))</f>
        <v/>
      </c>
      <c r="FV16" s="522">
        <f>IF(FV$4&lt;&gt;1,"",COUNTIF(FV9:FV13,"ง"))</f>
        <v/>
      </c>
      <c r="FW16" s="522">
        <f>IF(FW$4&lt;&gt;1,"",COUNTIF(FW9:FW13,"ง"))</f>
        <v/>
      </c>
      <c r="FX16" s="522">
        <f>IF(FX$4&lt;&gt;1,"",COUNTIF(FX9:FX13,"ง"))</f>
        <v/>
      </c>
      <c r="FY16" s="522">
        <f>IF(FY$4&lt;&gt;1,"",COUNTIF(FY9:FY13,"ง"))</f>
        <v/>
      </c>
      <c r="FZ16" s="522">
        <f>IF(FZ$4&lt;&gt;1,"",COUNTIF(FZ9:FZ13,"ง"))</f>
        <v/>
      </c>
      <c r="GA16" s="522">
        <f>IF(GA$4&lt;&gt;1,"",COUNTIF(GA9:GA13,"ง"))</f>
        <v/>
      </c>
      <c r="GB16" s="522">
        <f>IF(GB$4&lt;&gt;1,"",COUNTIF(GB9:GB13,"ง"))</f>
        <v/>
      </c>
      <c r="GC16" s="522">
        <f>IF(GC$4&lt;&gt;1,"",COUNTIF(GC9:GC13,"ง"))</f>
        <v/>
      </c>
      <c r="GD16" s="522">
        <f>IF(GD$4&lt;&gt;1,"",COUNTIF(GD9:GD13,"ง"))</f>
        <v/>
      </c>
      <c r="GE16" s="522">
        <f>IF(GE$4&lt;&gt;1,"",COUNTIF(GE9:GE13,"ง"))</f>
        <v/>
      </c>
      <c r="GF16" s="522">
        <f>IF(GF$4&lt;&gt;1,"",COUNTIF(GF9:GF13,"ง"))</f>
        <v/>
      </c>
      <c r="GG16" s="522">
        <f>IF(GG$4&lt;&gt;1,"",COUNTIF(GG9:GG13,"ง"))</f>
        <v/>
      </c>
      <c r="GH16" s="522">
        <f>IF(GH$4&lt;&gt;1,"",COUNTIF(GH9:GH13,"ง"))</f>
        <v/>
      </c>
      <c r="GI16" s="522">
        <f>IF(GI$4&lt;&gt;1,"",COUNTIF(GI9:GI13,"ง"))</f>
        <v/>
      </c>
      <c r="GJ16" s="522">
        <f>IF(GJ$4&lt;&gt;1,"",COUNTIF(GJ9:GJ13,"ง"))</f>
        <v/>
      </c>
      <c r="GK16" s="522">
        <f>IF(GK$4&lt;&gt;1,"",COUNTIF(GK9:GK13,"ง"))</f>
        <v/>
      </c>
      <c r="GL16" s="522">
        <f>IF(GL$4&lt;&gt;1,"",COUNTIF(GL9:GL13,"ง"))</f>
        <v/>
      </c>
      <c r="GM16" s="522">
        <f>IF(GM$4&lt;&gt;1,"",COUNTIF(GM9:GM13,"ง"))</f>
        <v/>
      </c>
      <c r="GN16" s="522">
        <f>IF(GN$4&lt;&gt;1,"",COUNTIF(GN9:GN13,"ง"))</f>
        <v/>
      </c>
      <c r="GO16" s="522">
        <f>IF(GO$4&lt;&gt;1,"",COUNTIF(GO9:GO13,"ง"))</f>
        <v/>
      </c>
      <c r="GP16" s="522">
        <f>IF(GP$4&lt;&gt;1,"",COUNTIF(GP9:GP13,"ง"))</f>
        <v/>
      </c>
      <c r="GQ16" s="522">
        <f>IF(GQ$4&lt;&gt;1,"",COUNTIF(GQ9:GQ13,"ง"))</f>
        <v/>
      </c>
      <c r="GR16" s="522">
        <f>IF(GR$4&lt;&gt;1,"",COUNTIF(GR9:GR13,"ง"))</f>
        <v/>
      </c>
      <c r="GS16" s="522">
        <f>IF(GS$4&lt;&gt;1,"",COUNTIF(GS9:GS13,"ง"))</f>
        <v/>
      </c>
      <c r="GT16" s="522">
        <f>IF(GT$4&lt;&gt;1,"",COUNTIF(GT9:GT13,"ง"))</f>
        <v/>
      </c>
      <c r="GU16" s="522">
        <f>IF(GU$4&lt;&gt;1,"",COUNTIF(GU9:GU13,"ง"))</f>
        <v/>
      </c>
      <c r="GV16" s="522">
        <f>IF(GV$4&lt;&gt;1,"",COUNTIF(GV9:GV13,"ง"))</f>
        <v/>
      </c>
      <c r="GW16" s="523" t="n"/>
      <c r="GX16" s="524" t="n"/>
      <c r="GY16" s="525" t="n"/>
    </row>
    <row r="17" ht="92" customHeight="1">
      <c r="A17" s="520" t="inlineStr">
        <is>
          <t>เมนูอาหาร</t>
        </is>
      </c>
      <c r="B17" s="184" t="n"/>
      <c r="C17" s="184" t="n"/>
      <c r="D17" s="526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523" t="n"/>
      <c r="AJ17" s="524" t="n"/>
      <c r="AK17" s="525" t="n"/>
      <c r="AL17" s="526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523" t="n"/>
      <c r="BR17" s="524" t="n"/>
      <c r="BS17" s="525" t="n"/>
      <c r="BT17" s="526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523" t="n"/>
      <c r="CZ17" s="524" t="n"/>
      <c r="DA17" s="525" t="n"/>
      <c r="DB17" s="526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523" t="n"/>
      <c r="EH17" s="524" t="n"/>
      <c r="EI17" s="525" t="n"/>
      <c r="EJ17" s="526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523" t="n"/>
      <c r="FP17" s="524" t="n"/>
      <c r="FQ17" s="525" t="n"/>
      <c r="FR17" s="526" t="n"/>
      <c r="FS17" s="527" t="n"/>
      <c r="FT17" s="527" t="n"/>
      <c r="FU17" s="527" t="n"/>
      <c r="FV17" s="527" t="n"/>
      <c r="FW17" s="527" t="n"/>
      <c r="FX17" s="527" t="n"/>
      <c r="FY17" s="527" t="n"/>
      <c r="FZ17" s="527" t="n"/>
      <c r="GA17" s="527" t="n"/>
      <c r="GB17" s="527" t="n"/>
      <c r="GC17" s="527" t="n"/>
      <c r="GD17" s="527" t="n"/>
      <c r="GE17" s="527" t="n"/>
      <c r="GF17" s="527" t="n"/>
      <c r="GG17" s="527" t="n"/>
      <c r="GH17" s="527" t="n"/>
      <c r="GI17" s="527" t="n"/>
      <c r="GJ17" s="527" t="n"/>
      <c r="GK17" s="527" t="n"/>
      <c r="GL17" s="527" t="n"/>
      <c r="GM17" s="527" t="n"/>
      <c r="GN17" s="527" t="n"/>
      <c r="GO17" s="527" t="n"/>
      <c r="GP17" s="527" t="n"/>
      <c r="GQ17" s="527" t="n"/>
      <c r="GR17" s="527" t="n"/>
      <c r="GS17" s="527" t="n"/>
      <c r="GT17" s="527" t="n"/>
      <c r="GU17" s="527" t="n"/>
      <c r="GV17" s="527" t="n"/>
      <c r="GW17" s="523" t="n"/>
      <c r="GX17" s="524" t="n"/>
      <c r="GY17" s="525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ห  ล  ง" type="list">
      <formula1>"ห,ล,ง"</formula1>
    </dataValidation>
    <dataValidation sqref="AL9:BP13" showDropDown="0" showInputMessage="0" showErrorMessage="0" allowBlank="1" errorTitle="ตรวจสอบข้อมูล" error="ใช้รหัส: ห  ล  ง" type="list">
      <formula1>"ห,ล,ง"</formula1>
    </dataValidation>
    <dataValidation sqref="BT9:CX13" showDropDown="0" showInputMessage="0" showErrorMessage="0" allowBlank="1" errorTitle="ตรวจสอบข้อมูล" error="ใช้รหัส: ห  ล  ง" type="list">
      <formula1>"ห,ล,ง"</formula1>
    </dataValidation>
    <dataValidation sqref="DB9:EF13" showDropDown="0" showInputMessage="0" showErrorMessage="0" allowBlank="1" errorTitle="ตรวจสอบข้อมูล" error="ใช้รหัส: ห  ล  ง" type="list">
      <formula1>"ห,ล,ง"</formula1>
    </dataValidation>
    <dataValidation sqref="EJ9:FN13" showDropDown="0" showInputMessage="0" showErrorMessage="0" allowBlank="1" errorTitle="ตรวจสอบข้อมูล" error="ใช้รหัส: ห  ล  ง" type="list">
      <formula1>"ห,ล,ง"</formula1>
    </dataValidation>
    <dataValidation sqref="FR9:GV13" showDropDown="0" showInputMessage="0" showErrorMessage="0" allowBlank="1" errorTitle="ตรวจสอบข้อมูล" error="ใช้รหัส: ห  ล  ง" type="list">
      <formula1>"ห,ล,ง"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tabColor rgb="00FFB36B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497" t="inlineStr">
        <is>
          <t>🏠</t>
        </is>
      </c>
      <c r="B1" s="498" t="n"/>
      <c r="C1" s="498" t="n"/>
      <c r="D1" s="498" t="n"/>
      <c r="E1" s="498" t="n"/>
      <c r="F1" s="498" t="n"/>
      <c r="G1" s="498" t="n"/>
      <c r="H1" s="498" t="n"/>
      <c r="I1" s="498" t="n"/>
      <c r="J1" s="498" t="n"/>
      <c r="K1" s="498" t="n"/>
      <c r="L1" s="498" t="n"/>
      <c r="M1" s="498" t="n"/>
      <c r="N1" s="498" t="n"/>
      <c r="O1" s="498" t="n"/>
      <c r="P1" s="498" t="n"/>
      <c r="Q1" s="498" t="n"/>
      <c r="R1" s="498" t="n"/>
      <c r="S1" s="498" t="n"/>
      <c r="T1" s="498" t="n"/>
      <c r="U1" s="498" t="n"/>
      <c r="V1" s="498" t="n"/>
      <c r="W1" s="498" t="n"/>
      <c r="X1" s="498" t="n"/>
      <c r="Y1" s="498" t="n"/>
      <c r="Z1" s="498" t="n"/>
      <c r="AA1" s="498" t="n"/>
      <c r="AB1" s="498" t="n"/>
      <c r="AC1" s="498" t="n"/>
      <c r="AD1" s="498" t="n"/>
      <c r="AE1" s="498" t="n"/>
      <c r="AF1" s="498" t="n"/>
      <c r="AG1" s="498" t="n"/>
      <c r="AH1" s="498" t="n"/>
      <c r="AI1" s="498" t="n"/>
      <c r="AJ1" s="498" t="n"/>
      <c r="AK1" s="498" t="n"/>
      <c r="AL1" s="498" t="n"/>
      <c r="AM1" s="498" t="n"/>
      <c r="AN1" s="498" t="n"/>
      <c r="AO1" s="498" t="n"/>
      <c r="AP1" s="498" t="n"/>
      <c r="AQ1" s="498" t="n"/>
      <c r="AR1" s="498" t="n"/>
      <c r="AS1" s="498" t="n"/>
      <c r="AT1" s="498" t="n"/>
      <c r="AU1" s="498" t="n"/>
      <c r="AV1" s="498" t="n"/>
      <c r="AW1" s="498" t="n"/>
      <c r="AX1" s="498" t="n"/>
      <c r="AY1" s="498" t="n"/>
      <c r="AZ1" s="498" t="n"/>
      <c r="BA1" s="498" t="n"/>
      <c r="BB1" s="498" t="n"/>
      <c r="BC1" s="498" t="n"/>
      <c r="BD1" s="498" t="n"/>
      <c r="BE1" s="498" t="n"/>
      <c r="BF1" s="498" t="n"/>
      <c r="BG1" s="498" t="n"/>
      <c r="BH1" s="498" t="n"/>
      <c r="BI1" s="498" t="n"/>
      <c r="BJ1" s="498" t="n"/>
      <c r="BK1" s="498" t="n"/>
      <c r="BL1" s="498" t="n"/>
      <c r="BM1" s="498" t="n"/>
      <c r="BN1" s="498" t="n"/>
      <c r="BO1" s="498" t="n"/>
      <c r="BP1" s="498" t="n"/>
      <c r="BQ1" s="498" t="n"/>
      <c r="BR1" s="498" t="n"/>
      <c r="BS1" s="498" t="n"/>
      <c r="BT1" s="498" t="n"/>
      <c r="BU1" s="498" t="n"/>
      <c r="BV1" s="498" t="n"/>
      <c r="BW1" s="498" t="n"/>
      <c r="BX1" s="498" t="n"/>
      <c r="BY1" s="498" t="n"/>
      <c r="BZ1" s="498" t="n"/>
      <c r="CA1" s="498" t="n"/>
      <c r="CB1" s="498" t="n"/>
      <c r="CC1" s="498" t="n"/>
      <c r="CD1" s="498" t="n"/>
      <c r="CE1" s="498" t="n"/>
      <c r="CF1" s="498" t="n"/>
      <c r="CG1" s="498" t="n"/>
      <c r="CH1" s="498" t="n"/>
      <c r="CI1" s="498" t="n"/>
      <c r="CJ1" s="498" t="n"/>
      <c r="CK1" s="498" t="n"/>
      <c r="CL1" s="498" t="n"/>
      <c r="CM1" s="498" t="n"/>
      <c r="CN1" s="498" t="n"/>
      <c r="CO1" s="498" t="n"/>
      <c r="CP1" s="498" t="n"/>
      <c r="CQ1" s="498" t="n"/>
      <c r="CR1" s="498" t="n"/>
      <c r="CS1" s="498" t="n"/>
      <c r="CT1" s="498" t="n"/>
      <c r="CU1" s="498" t="n"/>
      <c r="CV1" s="498" t="n"/>
      <c r="CW1" s="498" t="n"/>
      <c r="CX1" s="498" t="n"/>
      <c r="CY1" s="498" t="n"/>
      <c r="CZ1" s="498" t="n"/>
      <c r="DA1" s="498" t="n"/>
      <c r="DB1" s="498" t="n"/>
      <c r="DC1" s="498" t="n"/>
      <c r="DD1" s="498" t="n"/>
      <c r="DE1" s="498" t="n"/>
      <c r="DF1" s="498" t="n"/>
      <c r="DG1" s="498" t="n"/>
      <c r="DH1" s="498" t="n"/>
      <c r="DI1" s="498" t="n"/>
      <c r="DJ1" s="498" t="n"/>
      <c r="DK1" s="498" t="n"/>
      <c r="DL1" s="498" t="n"/>
      <c r="DM1" s="498" t="n"/>
      <c r="DN1" s="498" t="n"/>
      <c r="DO1" s="498" t="n"/>
      <c r="DP1" s="498" t="n"/>
      <c r="DQ1" s="498" t="n"/>
      <c r="DR1" s="498" t="n"/>
      <c r="DS1" s="498" t="n"/>
      <c r="DT1" s="498" t="n"/>
      <c r="DU1" s="498" t="n"/>
      <c r="DV1" s="498" t="n"/>
      <c r="DW1" s="498" t="n"/>
      <c r="DX1" s="498" t="n"/>
      <c r="DY1" s="498" t="n"/>
      <c r="DZ1" s="498" t="n"/>
      <c r="EA1" s="498" t="n"/>
      <c r="EB1" s="498" t="n"/>
      <c r="EC1" s="498" t="n"/>
      <c r="ED1" s="498" t="n"/>
      <c r="EE1" s="498" t="n"/>
      <c r="EF1" s="498" t="n"/>
      <c r="EG1" s="498" t="n"/>
      <c r="EH1" s="498" t="n"/>
      <c r="EI1" s="498" t="n"/>
      <c r="EJ1" s="498" t="n"/>
      <c r="EK1" s="498" t="n"/>
      <c r="EL1" s="498" t="n"/>
      <c r="EM1" s="498" t="n"/>
      <c r="EN1" s="498" t="n"/>
      <c r="EO1" s="498" t="n"/>
      <c r="EP1" s="498" t="n"/>
      <c r="EQ1" s="498" t="n"/>
      <c r="ER1" s="498" t="n"/>
      <c r="ES1" s="498" t="n"/>
      <c r="ET1" s="498" t="n"/>
      <c r="EU1" s="498" t="n"/>
      <c r="EV1" s="498" t="n"/>
      <c r="EW1" s="498" t="n"/>
      <c r="EX1" s="498" t="n"/>
      <c r="EY1" s="498" t="n"/>
      <c r="EZ1" s="498" t="n"/>
      <c r="FA1" s="498" t="n"/>
      <c r="FB1" s="498" t="n"/>
      <c r="FC1" s="498" t="n"/>
      <c r="FD1" s="498" t="n"/>
      <c r="FE1" s="498" t="n"/>
      <c r="FF1" s="498" t="n"/>
      <c r="FG1" s="498" t="n"/>
      <c r="FH1" s="498" t="n"/>
      <c r="FI1" s="498" t="n"/>
      <c r="FJ1" s="498" t="n"/>
      <c r="FK1" s="498" t="n"/>
      <c r="FL1" s="498" t="n"/>
      <c r="FM1" s="498" t="n"/>
      <c r="FN1" s="498" t="n"/>
      <c r="FO1" s="498" t="n"/>
      <c r="FP1" s="498" t="n"/>
      <c r="FQ1" s="498" t="n"/>
    </row>
    <row r="2" ht="20" customHeight="1">
      <c r="A2" s="499" t="inlineStr">
        <is>
          <t>หน้าหลัก</t>
        </is>
      </c>
      <c r="B2" s="50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01" t="n"/>
      <c r="D2" s="501" t="n"/>
      <c r="E2" s="501" t="n"/>
      <c r="F2" s="501" t="n"/>
      <c r="G2" s="501" t="n"/>
      <c r="H2" s="501" t="n"/>
      <c r="I2" s="501" t="n"/>
      <c r="J2" s="501" t="n"/>
      <c r="K2" s="501" t="n"/>
      <c r="L2" s="501" t="n"/>
      <c r="M2" s="501" t="n"/>
      <c r="N2" s="501" t="n"/>
      <c r="O2" s="501" t="n"/>
      <c r="P2" s="501" t="n"/>
      <c r="Q2" s="501" t="n"/>
      <c r="R2" s="501" t="n"/>
      <c r="S2" s="501" t="n"/>
      <c r="T2" s="501" t="n"/>
      <c r="U2" s="501" t="n"/>
      <c r="V2" s="501" t="n"/>
      <c r="W2" s="501" t="n"/>
      <c r="X2" s="501" t="n"/>
      <c r="Y2" s="501" t="n"/>
      <c r="Z2" s="501" t="n"/>
      <c r="AA2" s="501" t="n"/>
      <c r="AB2" s="501" t="n"/>
      <c r="AC2" s="501" t="n"/>
      <c r="AD2" s="501" t="n"/>
      <c r="AE2" s="501" t="n"/>
      <c r="AF2" s="501" t="n"/>
      <c r="AG2" s="501" t="n"/>
      <c r="AH2" s="501" t="n"/>
      <c r="AI2" s="501" t="n"/>
      <c r="AJ2" s="501" t="n"/>
      <c r="AK2" s="501" t="n"/>
      <c r="AL2" s="501" t="n"/>
      <c r="AM2" s="501" t="n"/>
      <c r="AN2" s="501" t="n"/>
      <c r="AO2" s="501" t="n"/>
      <c r="AP2" s="501" t="n"/>
      <c r="AQ2" s="501" t="n"/>
      <c r="AR2" s="501" t="n"/>
      <c r="AS2" s="501" t="n"/>
      <c r="AT2" s="501" t="n"/>
      <c r="AU2" s="501" t="n"/>
      <c r="AV2" s="501" t="n"/>
      <c r="AW2" s="501" t="n"/>
      <c r="AX2" s="501" t="n"/>
      <c r="AY2" s="501" t="n"/>
      <c r="AZ2" s="501" t="n"/>
      <c r="BA2" s="501" t="n"/>
      <c r="BB2" s="501" t="n"/>
      <c r="BC2" s="501" t="n"/>
      <c r="BD2" s="501" t="n"/>
      <c r="BE2" s="501" t="n"/>
      <c r="BF2" s="501" t="n"/>
      <c r="BG2" s="501" t="n"/>
      <c r="BH2" s="501" t="n"/>
      <c r="BI2" s="501" t="n"/>
      <c r="BJ2" s="501" t="n"/>
      <c r="BK2" s="501" t="n"/>
      <c r="BL2" s="501" t="n"/>
      <c r="BM2" s="501" t="n"/>
      <c r="BN2" s="501" t="n"/>
      <c r="BO2" s="501" t="n"/>
      <c r="BP2" s="501" t="n"/>
      <c r="BQ2" s="501" t="n"/>
      <c r="BR2" s="501" t="n"/>
      <c r="BS2" s="501" t="n"/>
      <c r="BT2" s="501" t="n"/>
      <c r="BU2" s="501" t="n"/>
      <c r="BV2" s="501" t="n"/>
      <c r="BW2" s="501" t="n"/>
      <c r="BX2" s="501" t="n"/>
      <c r="BY2" s="501" t="n"/>
      <c r="BZ2" s="501" t="n"/>
      <c r="CA2" s="501" t="n"/>
      <c r="CB2" s="501" t="n"/>
      <c r="CC2" s="501" t="n"/>
      <c r="CD2" s="501" t="n"/>
      <c r="CE2" s="501" t="n"/>
      <c r="CF2" s="501" t="n"/>
      <c r="CG2" s="501" t="n"/>
      <c r="CH2" s="501" t="n"/>
      <c r="CI2" s="501" t="n"/>
      <c r="CJ2" s="501" t="n"/>
      <c r="CK2" s="501" t="n"/>
      <c r="CL2" s="501" t="n"/>
      <c r="CM2" s="501" t="n"/>
      <c r="CN2" s="501" t="n"/>
      <c r="CO2" s="501" t="n"/>
      <c r="CP2" s="501" t="n"/>
      <c r="CQ2" s="501" t="n"/>
      <c r="CR2" s="501" t="n"/>
      <c r="CS2" s="501" t="n"/>
      <c r="CT2" s="501" t="n"/>
      <c r="CU2" s="501" t="n"/>
      <c r="CV2" s="501" t="n"/>
      <c r="CW2" s="501" t="n"/>
      <c r="CX2" s="501" t="n"/>
      <c r="CY2" s="501" t="n"/>
      <c r="CZ2" s="501" t="n"/>
      <c r="DA2" s="501" t="n"/>
      <c r="DB2" s="501" t="n"/>
      <c r="DC2" s="501" t="n"/>
      <c r="DD2" s="501" t="n"/>
      <c r="DE2" s="501" t="n"/>
      <c r="DF2" s="501" t="n"/>
      <c r="DG2" s="501" t="n"/>
      <c r="DH2" s="501" t="n"/>
      <c r="DI2" s="501" t="n"/>
      <c r="DJ2" s="501" t="n"/>
      <c r="DK2" s="501" t="n"/>
      <c r="DL2" s="501" t="n"/>
      <c r="DM2" s="501" t="n"/>
      <c r="DN2" s="501" t="n"/>
      <c r="DO2" s="501" t="n"/>
      <c r="DP2" s="501" t="n"/>
      <c r="DQ2" s="501" t="n"/>
      <c r="DR2" s="501" t="n"/>
      <c r="DS2" s="501" t="n"/>
      <c r="DT2" s="501" t="n"/>
      <c r="DU2" s="501" t="n"/>
      <c r="DV2" s="501" t="n"/>
      <c r="DW2" s="501" t="n"/>
      <c r="DX2" s="501" t="n"/>
      <c r="DY2" s="501" t="n"/>
      <c r="DZ2" s="501" t="n"/>
      <c r="EA2" s="501" t="n"/>
      <c r="EB2" s="501" t="n"/>
      <c r="EC2" s="501" t="n"/>
      <c r="ED2" s="501" t="n"/>
      <c r="EE2" s="501" t="n"/>
      <c r="EF2" s="501" t="n"/>
      <c r="EG2" s="501" t="n"/>
      <c r="EH2" s="501" t="n"/>
      <c r="EI2" s="501" t="n"/>
      <c r="EJ2" s="501" t="n"/>
      <c r="EK2" s="501" t="n"/>
      <c r="EL2" s="501" t="n"/>
      <c r="EM2" s="501" t="n"/>
      <c r="EN2" s="501" t="n"/>
      <c r="EO2" s="501" t="n"/>
      <c r="EP2" s="501" t="n"/>
      <c r="EQ2" s="501" t="n"/>
      <c r="ER2" s="501" t="n"/>
      <c r="ES2" s="501" t="n"/>
      <c r="ET2" s="501" t="n"/>
      <c r="EU2" s="501" t="n"/>
      <c r="EV2" s="501" t="n"/>
      <c r="EW2" s="501" t="n"/>
      <c r="EX2" s="501" t="n"/>
      <c r="EY2" s="501" t="n"/>
      <c r="EZ2" s="501" t="n"/>
      <c r="FA2" s="501" t="n"/>
      <c r="FB2" s="501" t="n"/>
      <c r="FC2" s="501" t="n"/>
      <c r="FD2" s="501" t="n"/>
      <c r="FE2" s="501" t="n"/>
      <c r="FF2" s="501" t="n"/>
      <c r="FG2" s="501" t="n"/>
      <c r="FH2" s="501" t="n"/>
      <c r="FI2" s="501" t="n"/>
      <c r="FJ2" s="501" t="n"/>
      <c r="FK2" s="501" t="n"/>
      <c r="FL2" s="501" t="n"/>
      <c r="FM2" s="501" t="n"/>
      <c r="FN2" s="501" t="n"/>
      <c r="FO2" s="501" t="n"/>
      <c r="FP2" s="501" t="n"/>
      <c r="FQ2" s="501" t="n"/>
    </row>
    <row r="3" ht="18" customHeight="1">
      <c r="B3" s="502" t="inlineStr">
        <is>
          <t>รหัส   ห = ทานหมด     ล = ทานเหลือ     ง = งด/ไม่ทาน      •   แถวล่างสุดบันทึกเมนูอาหาร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503" t="inlineStr">
        <is>
          <t>เลขที่</t>
        </is>
      </c>
      <c r="B5" s="503" t="inlineStr">
        <is>
          <t>ชื่อ - สกุล</t>
        </is>
      </c>
      <c r="C5" s="504" t="inlineStr">
        <is>
          <t>ร้อยละ
ทานหมด</t>
        </is>
      </c>
      <c r="D5" s="505">
        <f>"เดือนพฤศจิกายน  พ.ศ. "&amp;('ข้อมูลโรงเรียน'!$C$12-543+543)</f>
        <v/>
      </c>
      <c r="AI5" s="506" t="inlineStr">
        <is>
          <t>สรุป พ.ย.</t>
        </is>
      </c>
      <c r="AL5" s="505">
        <f>"เดือนธันวาคม  พ.ศ. "&amp;('ข้อมูลโรงเรียน'!$C$12-543+543)</f>
        <v/>
      </c>
      <c r="BQ5" s="506" t="inlineStr">
        <is>
          <t>สรุป ธ.ค.</t>
        </is>
      </c>
      <c r="BT5" s="505">
        <f>"เดือนมกราคม  พ.ศ. "&amp;('ข้อมูลโรงเรียน'!$C$12-542+543)</f>
        <v/>
      </c>
      <c r="CY5" s="506" t="inlineStr">
        <is>
          <t>สรุป ม.ค.</t>
        </is>
      </c>
      <c r="DB5" s="505">
        <f>"เดือนกุมภาพันธ์  พ.ศ. "&amp;('ข้อมูลโรงเรียน'!$C$12-542+543)</f>
        <v/>
      </c>
      <c r="EG5" s="506" t="inlineStr">
        <is>
          <t>สรุป ก.พ.</t>
        </is>
      </c>
      <c r="EJ5" s="505">
        <f>"เดือนมีนาคม  พ.ศ. "&amp;('ข้อมูลโรงเรียน'!$C$12-542+543)</f>
        <v/>
      </c>
      <c r="FO5" s="506" t="inlineStr">
        <is>
          <t>สรุป มี.ค.</t>
        </is>
      </c>
    </row>
    <row r="6">
      <c r="D6" s="507">
        <f>IF('ปฏิทิน'!D5="","",DAY('ปฏิทิน'!D5))</f>
        <v/>
      </c>
      <c r="E6" s="504">
        <f>IF('ปฏิทิน'!E5="","",DAY('ปฏิทิน'!E5))</f>
        <v/>
      </c>
      <c r="F6" s="504">
        <f>IF('ปฏิทิน'!F5="","",DAY('ปฏิทิน'!F5))</f>
        <v/>
      </c>
      <c r="G6" s="504">
        <f>IF('ปฏิทิน'!G5="","",DAY('ปฏิทิน'!G5))</f>
        <v/>
      </c>
      <c r="H6" s="504">
        <f>IF('ปฏิทิน'!H5="","",DAY('ปฏิทิน'!H5))</f>
        <v/>
      </c>
      <c r="I6" s="504">
        <f>IF('ปฏิทิน'!I5="","",DAY('ปฏิทิน'!I5))</f>
        <v/>
      </c>
      <c r="J6" s="504">
        <f>IF('ปฏิทิน'!J5="","",DAY('ปฏิทิน'!J5))</f>
        <v/>
      </c>
      <c r="K6" s="504">
        <f>IF('ปฏิทิน'!K5="","",DAY('ปฏิทิน'!K5))</f>
        <v/>
      </c>
      <c r="L6" s="504">
        <f>IF('ปฏิทิน'!L5="","",DAY('ปฏิทิน'!L5))</f>
        <v/>
      </c>
      <c r="M6" s="504">
        <f>IF('ปฏิทิน'!M5="","",DAY('ปฏิทิน'!M5))</f>
        <v/>
      </c>
      <c r="N6" s="504">
        <f>IF('ปฏิทิน'!N5="","",DAY('ปฏิทิน'!N5))</f>
        <v/>
      </c>
      <c r="O6" s="504">
        <f>IF('ปฏิทิน'!O5="","",DAY('ปฏิทิน'!O5))</f>
        <v/>
      </c>
      <c r="P6" s="504">
        <f>IF('ปฏิทิน'!P5="","",DAY('ปฏิทิน'!P5))</f>
        <v/>
      </c>
      <c r="Q6" s="504">
        <f>IF('ปฏิทิน'!Q5="","",DAY('ปฏิทิน'!Q5))</f>
        <v/>
      </c>
      <c r="R6" s="504">
        <f>IF('ปฏิทิน'!R5="","",DAY('ปฏิทิน'!R5))</f>
        <v/>
      </c>
      <c r="S6" s="504">
        <f>IF('ปฏิทิน'!S5="","",DAY('ปฏิทิน'!S5))</f>
        <v/>
      </c>
      <c r="T6" s="504">
        <f>IF('ปฏิทิน'!T5="","",DAY('ปฏิทิน'!T5))</f>
        <v/>
      </c>
      <c r="U6" s="504">
        <f>IF('ปฏิทิน'!U5="","",DAY('ปฏิทิน'!U5))</f>
        <v/>
      </c>
      <c r="V6" s="504">
        <f>IF('ปฏิทิน'!V5="","",DAY('ปฏิทิน'!V5))</f>
        <v/>
      </c>
      <c r="W6" s="504">
        <f>IF('ปฏิทิน'!W5="","",DAY('ปฏิทิน'!W5))</f>
        <v/>
      </c>
      <c r="X6" s="504">
        <f>IF('ปฏิทิน'!X5="","",DAY('ปฏิทิน'!X5))</f>
        <v/>
      </c>
      <c r="Y6" s="504">
        <f>IF('ปฏิทิน'!Y5="","",DAY('ปฏิทิน'!Y5))</f>
        <v/>
      </c>
      <c r="Z6" s="504">
        <f>IF('ปฏิทิน'!Z5="","",DAY('ปฏิทิน'!Z5))</f>
        <v/>
      </c>
      <c r="AA6" s="504">
        <f>IF('ปฏิทิน'!AA5="","",DAY('ปฏิทิน'!AA5))</f>
        <v/>
      </c>
      <c r="AB6" s="504">
        <f>IF('ปฏิทิน'!AB5="","",DAY('ปฏิทิน'!AB5))</f>
        <v/>
      </c>
      <c r="AC6" s="504">
        <f>IF('ปฏิทิน'!AC5="","",DAY('ปฏิทิน'!AC5))</f>
        <v/>
      </c>
      <c r="AD6" s="504">
        <f>IF('ปฏิทิน'!AD5="","",DAY('ปฏิทิน'!AD5))</f>
        <v/>
      </c>
      <c r="AE6" s="504">
        <f>IF('ปฏิทิน'!AE5="","",DAY('ปฏิทิน'!AE5))</f>
        <v/>
      </c>
      <c r="AF6" s="504">
        <f>IF('ปฏิทิน'!AF5="","",DAY('ปฏิทิน'!AF5))</f>
        <v/>
      </c>
      <c r="AG6" s="504">
        <f>IF('ปฏิทิน'!AG5="","",DAY('ปฏิทิน'!AG5))</f>
        <v/>
      </c>
      <c r="AH6" s="504">
        <f>IF('ปฏิทิน'!AH5="","",DAY('ปฏิทิน'!AH5))</f>
        <v/>
      </c>
      <c r="AI6" s="508" t="inlineStr">
        <is>
          <t>หมด</t>
        </is>
      </c>
      <c r="AJ6" s="509" t="inlineStr">
        <is>
          <t>เหลือ</t>
        </is>
      </c>
      <c r="AK6" s="510" t="inlineStr">
        <is>
          <t>ไม่
ทาน</t>
        </is>
      </c>
      <c r="AL6" s="507">
        <f>IF('ปฏิทิน'!AL5="","",DAY('ปฏิทิน'!AL5))</f>
        <v/>
      </c>
      <c r="AM6" s="504">
        <f>IF('ปฏิทิน'!AM5="","",DAY('ปฏิทิน'!AM5))</f>
        <v/>
      </c>
      <c r="AN6" s="504">
        <f>IF('ปฏิทิน'!AN5="","",DAY('ปฏิทิน'!AN5))</f>
        <v/>
      </c>
      <c r="AO6" s="504">
        <f>IF('ปฏิทิน'!AO5="","",DAY('ปฏิทิน'!AO5))</f>
        <v/>
      </c>
      <c r="AP6" s="504">
        <f>IF('ปฏิทิน'!AP5="","",DAY('ปฏิทิน'!AP5))</f>
        <v/>
      </c>
      <c r="AQ6" s="504">
        <f>IF('ปฏิทิน'!AQ5="","",DAY('ปฏิทิน'!AQ5))</f>
        <v/>
      </c>
      <c r="AR6" s="504">
        <f>IF('ปฏิทิน'!AR5="","",DAY('ปฏิทิน'!AR5))</f>
        <v/>
      </c>
      <c r="AS6" s="504">
        <f>IF('ปฏิทิน'!AS5="","",DAY('ปฏิทิน'!AS5))</f>
        <v/>
      </c>
      <c r="AT6" s="504">
        <f>IF('ปฏิทิน'!AT5="","",DAY('ปฏิทิน'!AT5))</f>
        <v/>
      </c>
      <c r="AU6" s="504">
        <f>IF('ปฏิทิน'!AU5="","",DAY('ปฏิทิน'!AU5))</f>
        <v/>
      </c>
      <c r="AV6" s="504">
        <f>IF('ปฏิทิน'!AV5="","",DAY('ปฏิทิน'!AV5))</f>
        <v/>
      </c>
      <c r="AW6" s="504">
        <f>IF('ปฏิทิน'!AW5="","",DAY('ปฏิทิน'!AW5))</f>
        <v/>
      </c>
      <c r="AX6" s="504">
        <f>IF('ปฏิทิน'!AX5="","",DAY('ปฏิทิน'!AX5))</f>
        <v/>
      </c>
      <c r="AY6" s="504">
        <f>IF('ปฏิทิน'!AY5="","",DAY('ปฏิทิน'!AY5))</f>
        <v/>
      </c>
      <c r="AZ6" s="504">
        <f>IF('ปฏิทิน'!AZ5="","",DAY('ปฏิทิน'!AZ5))</f>
        <v/>
      </c>
      <c r="BA6" s="504">
        <f>IF('ปฏิทิน'!BA5="","",DAY('ปฏิทิน'!BA5))</f>
        <v/>
      </c>
      <c r="BB6" s="504">
        <f>IF('ปฏิทิน'!BB5="","",DAY('ปฏิทิน'!BB5))</f>
        <v/>
      </c>
      <c r="BC6" s="504">
        <f>IF('ปฏิทิน'!BC5="","",DAY('ปฏิทิน'!BC5))</f>
        <v/>
      </c>
      <c r="BD6" s="504">
        <f>IF('ปฏิทิน'!BD5="","",DAY('ปฏิทิน'!BD5))</f>
        <v/>
      </c>
      <c r="BE6" s="504">
        <f>IF('ปฏิทิน'!BE5="","",DAY('ปฏิทิน'!BE5))</f>
        <v/>
      </c>
      <c r="BF6" s="504">
        <f>IF('ปฏิทิน'!BF5="","",DAY('ปฏิทิน'!BF5))</f>
        <v/>
      </c>
      <c r="BG6" s="504">
        <f>IF('ปฏิทิน'!BG5="","",DAY('ปฏิทิน'!BG5))</f>
        <v/>
      </c>
      <c r="BH6" s="504">
        <f>IF('ปฏิทิน'!BH5="","",DAY('ปฏิทิน'!BH5))</f>
        <v/>
      </c>
      <c r="BI6" s="504">
        <f>IF('ปฏิทิน'!BI5="","",DAY('ปฏิทิน'!BI5))</f>
        <v/>
      </c>
      <c r="BJ6" s="504">
        <f>IF('ปฏิทิน'!BJ5="","",DAY('ปฏิทิน'!BJ5))</f>
        <v/>
      </c>
      <c r="BK6" s="504">
        <f>IF('ปฏิทิน'!BK5="","",DAY('ปฏิทิน'!BK5))</f>
        <v/>
      </c>
      <c r="BL6" s="504">
        <f>IF('ปฏิทิน'!BL5="","",DAY('ปฏิทิน'!BL5))</f>
        <v/>
      </c>
      <c r="BM6" s="504">
        <f>IF('ปฏิทิน'!BM5="","",DAY('ปฏิทิน'!BM5))</f>
        <v/>
      </c>
      <c r="BN6" s="504">
        <f>IF('ปฏิทิน'!BN5="","",DAY('ปฏิทิน'!BN5))</f>
        <v/>
      </c>
      <c r="BO6" s="504">
        <f>IF('ปฏิทิน'!BO5="","",DAY('ปฏิทิน'!BO5))</f>
        <v/>
      </c>
      <c r="BP6" s="504">
        <f>IF('ปฏิทิน'!BP5="","",DAY('ปฏิทิน'!BP5))</f>
        <v/>
      </c>
      <c r="BQ6" s="508" t="inlineStr">
        <is>
          <t>หมด</t>
        </is>
      </c>
      <c r="BR6" s="509" t="inlineStr">
        <is>
          <t>เหลือ</t>
        </is>
      </c>
      <c r="BS6" s="510" t="inlineStr">
        <is>
          <t>ไม่
ทาน</t>
        </is>
      </c>
      <c r="BT6" s="507">
        <f>IF('ปฏิทิน'!BT5="","",DAY('ปฏิทิน'!BT5))</f>
        <v/>
      </c>
      <c r="BU6" s="504">
        <f>IF('ปฏิทิน'!BU5="","",DAY('ปฏิทิน'!BU5))</f>
        <v/>
      </c>
      <c r="BV6" s="504">
        <f>IF('ปฏิทิน'!BV5="","",DAY('ปฏิทิน'!BV5))</f>
        <v/>
      </c>
      <c r="BW6" s="504">
        <f>IF('ปฏิทิน'!BW5="","",DAY('ปฏิทิน'!BW5))</f>
        <v/>
      </c>
      <c r="BX6" s="504">
        <f>IF('ปฏิทิน'!BX5="","",DAY('ปฏิทิน'!BX5))</f>
        <v/>
      </c>
      <c r="BY6" s="504">
        <f>IF('ปฏิทิน'!BY5="","",DAY('ปฏิทิน'!BY5))</f>
        <v/>
      </c>
      <c r="BZ6" s="504">
        <f>IF('ปฏิทิน'!BZ5="","",DAY('ปฏิทิน'!BZ5))</f>
        <v/>
      </c>
      <c r="CA6" s="504">
        <f>IF('ปฏิทิน'!CA5="","",DAY('ปฏิทิน'!CA5))</f>
        <v/>
      </c>
      <c r="CB6" s="504">
        <f>IF('ปฏิทิน'!CB5="","",DAY('ปฏิทิน'!CB5))</f>
        <v/>
      </c>
      <c r="CC6" s="504">
        <f>IF('ปฏิทิน'!CC5="","",DAY('ปฏิทิน'!CC5))</f>
        <v/>
      </c>
      <c r="CD6" s="504">
        <f>IF('ปฏิทิน'!CD5="","",DAY('ปฏิทิน'!CD5))</f>
        <v/>
      </c>
      <c r="CE6" s="504">
        <f>IF('ปฏิทิน'!CE5="","",DAY('ปฏิทิน'!CE5))</f>
        <v/>
      </c>
      <c r="CF6" s="504">
        <f>IF('ปฏิทิน'!CF5="","",DAY('ปฏิทิน'!CF5))</f>
        <v/>
      </c>
      <c r="CG6" s="504">
        <f>IF('ปฏิทิน'!CG5="","",DAY('ปฏิทิน'!CG5))</f>
        <v/>
      </c>
      <c r="CH6" s="504">
        <f>IF('ปฏิทิน'!CH5="","",DAY('ปฏิทิน'!CH5))</f>
        <v/>
      </c>
      <c r="CI6" s="504">
        <f>IF('ปฏิทิน'!CI5="","",DAY('ปฏิทิน'!CI5))</f>
        <v/>
      </c>
      <c r="CJ6" s="504">
        <f>IF('ปฏิทิน'!CJ5="","",DAY('ปฏิทิน'!CJ5))</f>
        <v/>
      </c>
      <c r="CK6" s="504">
        <f>IF('ปฏิทิน'!CK5="","",DAY('ปฏิทิน'!CK5))</f>
        <v/>
      </c>
      <c r="CL6" s="504">
        <f>IF('ปฏิทิน'!CL5="","",DAY('ปฏิทิน'!CL5))</f>
        <v/>
      </c>
      <c r="CM6" s="504">
        <f>IF('ปฏิทิน'!CM5="","",DAY('ปฏิทิน'!CM5))</f>
        <v/>
      </c>
      <c r="CN6" s="504">
        <f>IF('ปฏิทิน'!CN5="","",DAY('ปฏิทิน'!CN5))</f>
        <v/>
      </c>
      <c r="CO6" s="504">
        <f>IF('ปฏิทิน'!CO5="","",DAY('ปฏิทิน'!CO5))</f>
        <v/>
      </c>
      <c r="CP6" s="504">
        <f>IF('ปฏิทิน'!CP5="","",DAY('ปฏิทิน'!CP5))</f>
        <v/>
      </c>
      <c r="CQ6" s="504">
        <f>IF('ปฏิทิน'!CQ5="","",DAY('ปฏิทิน'!CQ5))</f>
        <v/>
      </c>
      <c r="CR6" s="504">
        <f>IF('ปฏิทิน'!CR5="","",DAY('ปฏิทิน'!CR5))</f>
        <v/>
      </c>
      <c r="CS6" s="504">
        <f>IF('ปฏิทิน'!CS5="","",DAY('ปฏิทิน'!CS5))</f>
        <v/>
      </c>
      <c r="CT6" s="504">
        <f>IF('ปฏิทิน'!CT5="","",DAY('ปฏิทิน'!CT5))</f>
        <v/>
      </c>
      <c r="CU6" s="504">
        <f>IF('ปฏิทิน'!CU5="","",DAY('ปฏิทิน'!CU5))</f>
        <v/>
      </c>
      <c r="CV6" s="504">
        <f>IF('ปฏิทิน'!CV5="","",DAY('ปฏิทิน'!CV5))</f>
        <v/>
      </c>
      <c r="CW6" s="504">
        <f>IF('ปฏิทิน'!CW5="","",DAY('ปฏิทิน'!CW5))</f>
        <v/>
      </c>
      <c r="CX6" s="504">
        <f>IF('ปฏิทิน'!CX5="","",DAY('ปฏิทิน'!CX5))</f>
        <v/>
      </c>
      <c r="CY6" s="508" t="inlineStr">
        <is>
          <t>หมด</t>
        </is>
      </c>
      <c r="CZ6" s="509" t="inlineStr">
        <is>
          <t>เหลือ</t>
        </is>
      </c>
      <c r="DA6" s="510" t="inlineStr">
        <is>
          <t>ไม่
ทาน</t>
        </is>
      </c>
      <c r="DB6" s="507">
        <f>IF('ปฏิทิน'!DB5="","",DAY('ปฏิทิน'!DB5))</f>
        <v/>
      </c>
      <c r="DC6" s="504">
        <f>IF('ปฏิทิน'!DC5="","",DAY('ปฏิทิน'!DC5))</f>
        <v/>
      </c>
      <c r="DD6" s="504">
        <f>IF('ปฏิทิน'!DD5="","",DAY('ปฏิทิน'!DD5))</f>
        <v/>
      </c>
      <c r="DE6" s="504">
        <f>IF('ปฏิทิน'!DE5="","",DAY('ปฏิทิน'!DE5))</f>
        <v/>
      </c>
      <c r="DF6" s="504">
        <f>IF('ปฏิทิน'!DF5="","",DAY('ปฏิทิน'!DF5))</f>
        <v/>
      </c>
      <c r="DG6" s="504">
        <f>IF('ปฏิทิน'!DG5="","",DAY('ปฏิทิน'!DG5))</f>
        <v/>
      </c>
      <c r="DH6" s="504">
        <f>IF('ปฏิทิน'!DH5="","",DAY('ปฏิทิน'!DH5))</f>
        <v/>
      </c>
      <c r="DI6" s="504">
        <f>IF('ปฏิทิน'!DI5="","",DAY('ปฏิทิน'!DI5))</f>
        <v/>
      </c>
      <c r="DJ6" s="504">
        <f>IF('ปฏิทิน'!DJ5="","",DAY('ปฏิทิน'!DJ5))</f>
        <v/>
      </c>
      <c r="DK6" s="504">
        <f>IF('ปฏิทิน'!DK5="","",DAY('ปฏิทิน'!DK5))</f>
        <v/>
      </c>
      <c r="DL6" s="504">
        <f>IF('ปฏิทิน'!DL5="","",DAY('ปฏิทิน'!DL5))</f>
        <v/>
      </c>
      <c r="DM6" s="504">
        <f>IF('ปฏิทิน'!DM5="","",DAY('ปฏิทิน'!DM5))</f>
        <v/>
      </c>
      <c r="DN6" s="504">
        <f>IF('ปฏิทิน'!DN5="","",DAY('ปฏิทิน'!DN5))</f>
        <v/>
      </c>
      <c r="DO6" s="504">
        <f>IF('ปฏิทิน'!DO5="","",DAY('ปฏิทิน'!DO5))</f>
        <v/>
      </c>
      <c r="DP6" s="504">
        <f>IF('ปฏิทิน'!DP5="","",DAY('ปฏิทิน'!DP5))</f>
        <v/>
      </c>
      <c r="DQ6" s="504">
        <f>IF('ปฏิทิน'!DQ5="","",DAY('ปฏิทิน'!DQ5))</f>
        <v/>
      </c>
      <c r="DR6" s="504">
        <f>IF('ปฏิทิน'!DR5="","",DAY('ปฏิทิน'!DR5))</f>
        <v/>
      </c>
      <c r="DS6" s="504">
        <f>IF('ปฏิทิน'!DS5="","",DAY('ปฏิทิน'!DS5))</f>
        <v/>
      </c>
      <c r="DT6" s="504">
        <f>IF('ปฏิทิน'!DT5="","",DAY('ปฏิทิน'!DT5))</f>
        <v/>
      </c>
      <c r="DU6" s="504">
        <f>IF('ปฏิทิน'!DU5="","",DAY('ปฏิทิน'!DU5))</f>
        <v/>
      </c>
      <c r="DV6" s="504">
        <f>IF('ปฏิทิน'!DV5="","",DAY('ปฏิทิน'!DV5))</f>
        <v/>
      </c>
      <c r="DW6" s="504">
        <f>IF('ปฏิทิน'!DW5="","",DAY('ปฏิทิน'!DW5))</f>
        <v/>
      </c>
      <c r="DX6" s="504">
        <f>IF('ปฏิทิน'!DX5="","",DAY('ปฏิทิน'!DX5))</f>
        <v/>
      </c>
      <c r="DY6" s="504">
        <f>IF('ปฏิทิน'!DY5="","",DAY('ปฏิทิน'!DY5))</f>
        <v/>
      </c>
      <c r="DZ6" s="504">
        <f>IF('ปฏิทิน'!DZ5="","",DAY('ปฏิทิน'!DZ5))</f>
        <v/>
      </c>
      <c r="EA6" s="504">
        <f>IF('ปฏิทิน'!EA5="","",DAY('ปฏิทิน'!EA5))</f>
        <v/>
      </c>
      <c r="EB6" s="504">
        <f>IF('ปฏิทิน'!EB5="","",DAY('ปฏิทิน'!EB5))</f>
        <v/>
      </c>
      <c r="EC6" s="504">
        <f>IF('ปฏิทิน'!EC5="","",DAY('ปฏิทิน'!EC5))</f>
        <v/>
      </c>
      <c r="ED6" s="504">
        <f>IF('ปฏิทิน'!ED5="","",DAY('ปฏิทิน'!ED5))</f>
        <v/>
      </c>
      <c r="EE6" s="504">
        <f>IF('ปฏิทิน'!EE5="","",DAY('ปฏิทิน'!EE5))</f>
        <v/>
      </c>
      <c r="EF6" s="504">
        <f>IF('ปฏิทิน'!EF5="","",DAY('ปฏิทิน'!EF5))</f>
        <v/>
      </c>
      <c r="EG6" s="508" t="inlineStr">
        <is>
          <t>หมด</t>
        </is>
      </c>
      <c r="EH6" s="509" t="inlineStr">
        <is>
          <t>เหลือ</t>
        </is>
      </c>
      <c r="EI6" s="510" t="inlineStr">
        <is>
          <t>ไม่
ทาน</t>
        </is>
      </c>
      <c r="EJ6" s="507">
        <f>IF('ปฏิทิน'!EJ5="","",DAY('ปฏิทิน'!EJ5))</f>
        <v/>
      </c>
      <c r="EK6" s="504">
        <f>IF('ปฏิทิน'!EK5="","",DAY('ปฏิทิน'!EK5))</f>
        <v/>
      </c>
      <c r="EL6" s="504">
        <f>IF('ปฏิทิน'!EL5="","",DAY('ปฏิทิน'!EL5))</f>
        <v/>
      </c>
      <c r="EM6" s="504">
        <f>IF('ปฏิทิน'!EM5="","",DAY('ปฏิทิน'!EM5))</f>
        <v/>
      </c>
      <c r="EN6" s="504">
        <f>IF('ปฏิทิน'!EN5="","",DAY('ปฏิทิน'!EN5))</f>
        <v/>
      </c>
      <c r="EO6" s="504">
        <f>IF('ปฏิทิน'!EO5="","",DAY('ปฏิทิน'!EO5))</f>
        <v/>
      </c>
      <c r="EP6" s="504">
        <f>IF('ปฏิทิน'!EP5="","",DAY('ปฏิทิน'!EP5))</f>
        <v/>
      </c>
      <c r="EQ6" s="504">
        <f>IF('ปฏิทิน'!EQ5="","",DAY('ปฏิทิน'!EQ5))</f>
        <v/>
      </c>
      <c r="ER6" s="504">
        <f>IF('ปฏิทิน'!ER5="","",DAY('ปฏิทิน'!ER5))</f>
        <v/>
      </c>
      <c r="ES6" s="504">
        <f>IF('ปฏิทิน'!ES5="","",DAY('ปฏิทิน'!ES5))</f>
        <v/>
      </c>
      <c r="ET6" s="504">
        <f>IF('ปฏิทิน'!ET5="","",DAY('ปฏิทิน'!ET5))</f>
        <v/>
      </c>
      <c r="EU6" s="504">
        <f>IF('ปฏิทิน'!EU5="","",DAY('ปฏิทิน'!EU5))</f>
        <v/>
      </c>
      <c r="EV6" s="504">
        <f>IF('ปฏิทิน'!EV5="","",DAY('ปฏิทิน'!EV5))</f>
        <v/>
      </c>
      <c r="EW6" s="504">
        <f>IF('ปฏิทิน'!EW5="","",DAY('ปฏิทิน'!EW5))</f>
        <v/>
      </c>
      <c r="EX6" s="504">
        <f>IF('ปฏิทิน'!EX5="","",DAY('ปฏิทิน'!EX5))</f>
        <v/>
      </c>
      <c r="EY6" s="504">
        <f>IF('ปฏิทิน'!EY5="","",DAY('ปฏิทิน'!EY5))</f>
        <v/>
      </c>
      <c r="EZ6" s="504">
        <f>IF('ปฏิทิน'!EZ5="","",DAY('ปฏิทิน'!EZ5))</f>
        <v/>
      </c>
      <c r="FA6" s="504">
        <f>IF('ปฏิทิน'!FA5="","",DAY('ปฏิทิน'!FA5))</f>
        <v/>
      </c>
      <c r="FB6" s="504">
        <f>IF('ปฏิทิน'!FB5="","",DAY('ปฏิทิน'!FB5))</f>
        <v/>
      </c>
      <c r="FC6" s="504">
        <f>IF('ปฏิทิน'!FC5="","",DAY('ปฏิทิน'!FC5))</f>
        <v/>
      </c>
      <c r="FD6" s="504">
        <f>IF('ปฏิทิน'!FD5="","",DAY('ปฏิทิน'!FD5))</f>
        <v/>
      </c>
      <c r="FE6" s="504">
        <f>IF('ปฏิทิน'!FE5="","",DAY('ปฏิทิน'!FE5))</f>
        <v/>
      </c>
      <c r="FF6" s="504">
        <f>IF('ปฏิทิน'!FF5="","",DAY('ปฏิทิน'!FF5))</f>
        <v/>
      </c>
      <c r="FG6" s="504">
        <f>IF('ปฏิทิน'!FG5="","",DAY('ปฏิทิน'!FG5))</f>
        <v/>
      </c>
      <c r="FH6" s="504">
        <f>IF('ปฏิทิน'!FH5="","",DAY('ปฏิทิน'!FH5))</f>
        <v/>
      </c>
      <c r="FI6" s="504">
        <f>IF('ปฏิทิน'!FI5="","",DAY('ปฏิทิน'!FI5))</f>
        <v/>
      </c>
      <c r="FJ6" s="504">
        <f>IF('ปฏิทิน'!FJ5="","",DAY('ปฏิทิน'!FJ5))</f>
        <v/>
      </c>
      <c r="FK6" s="504">
        <f>IF('ปฏิทิน'!FK5="","",DAY('ปฏิทิน'!FK5))</f>
        <v/>
      </c>
      <c r="FL6" s="504">
        <f>IF('ปฏิทิน'!FL5="","",DAY('ปฏิทิน'!FL5))</f>
        <v/>
      </c>
      <c r="FM6" s="504">
        <f>IF('ปฏิทิน'!FM5="","",DAY('ปฏิทิน'!FM5))</f>
        <v/>
      </c>
      <c r="FN6" s="504">
        <f>IF('ปฏิทิน'!FN5="","",DAY('ปฏิทิน'!FN5))</f>
        <v/>
      </c>
      <c r="FO6" s="508" t="inlineStr">
        <is>
          <t>หมด</t>
        </is>
      </c>
      <c r="FP6" s="509" t="inlineStr">
        <is>
          <t>เหลือ</t>
        </is>
      </c>
      <c r="FQ6" s="510" t="inlineStr">
        <is>
          <t>ไม่
ทาน</t>
        </is>
      </c>
    </row>
    <row r="7">
      <c r="D7" s="511">
        <f>IF('ปฏิทิน'!D5="","",CHOOSE(WEEKDAY('ปฏิทิน'!D5,2),"จ.","อ.","พ.","พฤ.","ศ.","ส.","อา."))</f>
        <v/>
      </c>
      <c r="E7" s="512">
        <f>IF('ปฏิทิน'!E5="","",CHOOSE(WEEKDAY('ปฏิทิน'!E5,2),"จ.","อ.","พ.","พฤ.","ศ.","ส.","อา."))</f>
        <v/>
      </c>
      <c r="F7" s="512">
        <f>IF('ปฏิทิน'!F5="","",CHOOSE(WEEKDAY('ปฏิทิน'!F5,2),"จ.","อ.","พ.","พฤ.","ศ.","ส.","อา."))</f>
        <v/>
      </c>
      <c r="G7" s="512">
        <f>IF('ปฏิทิน'!G5="","",CHOOSE(WEEKDAY('ปฏิทิน'!G5,2),"จ.","อ.","พ.","พฤ.","ศ.","ส.","อา."))</f>
        <v/>
      </c>
      <c r="H7" s="512">
        <f>IF('ปฏิทิน'!H5="","",CHOOSE(WEEKDAY('ปฏิทิน'!H5,2),"จ.","อ.","พ.","พฤ.","ศ.","ส.","อา."))</f>
        <v/>
      </c>
      <c r="I7" s="512">
        <f>IF('ปฏิทิน'!I5="","",CHOOSE(WEEKDAY('ปฏิทิน'!I5,2),"จ.","อ.","พ.","พฤ.","ศ.","ส.","อา."))</f>
        <v/>
      </c>
      <c r="J7" s="512">
        <f>IF('ปฏิทิน'!J5="","",CHOOSE(WEEKDAY('ปฏิทิน'!J5,2),"จ.","อ.","พ.","พฤ.","ศ.","ส.","อา."))</f>
        <v/>
      </c>
      <c r="K7" s="512">
        <f>IF('ปฏิทิน'!K5="","",CHOOSE(WEEKDAY('ปฏิทิน'!K5,2),"จ.","อ.","พ.","พฤ.","ศ.","ส.","อา."))</f>
        <v/>
      </c>
      <c r="L7" s="512">
        <f>IF('ปฏิทิน'!L5="","",CHOOSE(WEEKDAY('ปฏิทิน'!L5,2),"จ.","อ.","พ.","พฤ.","ศ.","ส.","อา."))</f>
        <v/>
      </c>
      <c r="M7" s="512">
        <f>IF('ปฏิทิน'!M5="","",CHOOSE(WEEKDAY('ปฏิทิน'!M5,2),"จ.","อ.","พ.","พฤ.","ศ.","ส.","อา."))</f>
        <v/>
      </c>
      <c r="N7" s="512">
        <f>IF('ปฏิทิน'!N5="","",CHOOSE(WEEKDAY('ปฏิทิน'!N5,2),"จ.","อ.","พ.","พฤ.","ศ.","ส.","อา."))</f>
        <v/>
      </c>
      <c r="O7" s="512">
        <f>IF('ปฏิทิน'!O5="","",CHOOSE(WEEKDAY('ปฏิทิน'!O5,2),"จ.","อ.","พ.","พฤ.","ศ.","ส.","อา."))</f>
        <v/>
      </c>
      <c r="P7" s="512">
        <f>IF('ปฏิทิน'!P5="","",CHOOSE(WEEKDAY('ปฏิทิน'!P5,2),"จ.","อ.","พ.","พฤ.","ศ.","ส.","อา."))</f>
        <v/>
      </c>
      <c r="Q7" s="512">
        <f>IF('ปฏิทิน'!Q5="","",CHOOSE(WEEKDAY('ปฏิทิน'!Q5,2),"จ.","อ.","พ.","พฤ.","ศ.","ส.","อา."))</f>
        <v/>
      </c>
      <c r="R7" s="512">
        <f>IF('ปฏิทิน'!R5="","",CHOOSE(WEEKDAY('ปฏิทิน'!R5,2),"จ.","อ.","พ.","พฤ.","ศ.","ส.","อา."))</f>
        <v/>
      </c>
      <c r="S7" s="512">
        <f>IF('ปฏิทิน'!S5="","",CHOOSE(WEEKDAY('ปฏิทิน'!S5,2),"จ.","อ.","พ.","พฤ.","ศ.","ส.","อา."))</f>
        <v/>
      </c>
      <c r="T7" s="512">
        <f>IF('ปฏิทิน'!T5="","",CHOOSE(WEEKDAY('ปฏิทิน'!T5,2),"จ.","อ.","พ.","พฤ.","ศ.","ส.","อา."))</f>
        <v/>
      </c>
      <c r="U7" s="512">
        <f>IF('ปฏิทิน'!U5="","",CHOOSE(WEEKDAY('ปฏิทิน'!U5,2),"จ.","อ.","พ.","พฤ.","ศ.","ส.","อา."))</f>
        <v/>
      </c>
      <c r="V7" s="512">
        <f>IF('ปฏิทิน'!V5="","",CHOOSE(WEEKDAY('ปฏิทิน'!V5,2),"จ.","อ.","พ.","พฤ.","ศ.","ส.","อา."))</f>
        <v/>
      </c>
      <c r="W7" s="512">
        <f>IF('ปฏิทิน'!W5="","",CHOOSE(WEEKDAY('ปฏิทิน'!W5,2),"จ.","อ.","พ.","พฤ.","ศ.","ส.","อา."))</f>
        <v/>
      </c>
      <c r="X7" s="512">
        <f>IF('ปฏิทิน'!X5="","",CHOOSE(WEEKDAY('ปฏิทิน'!X5,2),"จ.","อ.","พ.","พฤ.","ศ.","ส.","อา."))</f>
        <v/>
      </c>
      <c r="Y7" s="512">
        <f>IF('ปฏิทิน'!Y5="","",CHOOSE(WEEKDAY('ปฏิทิน'!Y5,2),"จ.","อ.","พ.","พฤ.","ศ.","ส.","อา."))</f>
        <v/>
      </c>
      <c r="Z7" s="512">
        <f>IF('ปฏิทิน'!Z5="","",CHOOSE(WEEKDAY('ปฏิทิน'!Z5,2),"จ.","อ.","พ.","พฤ.","ศ.","ส.","อา."))</f>
        <v/>
      </c>
      <c r="AA7" s="512">
        <f>IF('ปฏิทิน'!AA5="","",CHOOSE(WEEKDAY('ปฏิทิน'!AA5,2),"จ.","อ.","พ.","พฤ.","ศ.","ส.","อา."))</f>
        <v/>
      </c>
      <c r="AB7" s="512">
        <f>IF('ปฏิทิน'!AB5="","",CHOOSE(WEEKDAY('ปฏิทิน'!AB5,2),"จ.","อ.","พ.","พฤ.","ศ.","ส.","อา."))</f>
        <v/>
      </c>
      <c r="AC7" s="512">
        <f>IF('ปฏิทิน'!AC5="","",CHOOSE(WEEKDAY('ปฏิทิน'!AC5,2),"จ.","อ.","พ.","พฤ.","ศ.","ส.","อา."))</f>
        <v/>
      </c>
      <c r="AD7" s="512">
        <f>IF('ปฏิทิน'!AD5="","",CHOOSE(WEEKDAY('ปฏิทิน'!AD5,2),"จ.","อ.","พ.","พฤ.","ศ.","ส.","อา."))</f>
        <v/>
      </c>
      <c r="AE7" s="512">
        <f>IF('ปฏิทิน'!AE5="","",CHOOSE(WEEKDAY('ปฏิทิน'!AE5,2),"จ.","อ.","พ.","พฤ.","ศ.","ส.","อา."))</f>
        <v/>
      </c>
      <c r="AF7" s="512">
        <f>IF('ปฏิทิน'!AF5="","",CHOOSE(WEEKDAY('ปฏิทิน'!AF5,2),"จ.","อ.","พ.","พฤ.","ศ.","ส.","อา."))</f>
        <v/>
      </c>
      <c r="AG7" s="512">
        <f>IF('ปฏิทิน'!AG5="","",CHOOSE(WEEKDAY('ปฏิทิน'!AG5,2),"จ.","อ.","พ.","พฤ.","ศ.","ส.","อา."))</f>
        <v/>
      </c>
      <c r="AH7" s="512">
        <f>IF('ปฏิทิน'!AH5="","",CHOOSE(WEEKDAY('ปฏิทิน'!AH5,2),"จ.","อ.","พ.","พฤ.","ศ.","ส.","อา."))</f>
        <v/>
      </c>
      <c r="AI7" s="513" t="n"/>
      <c r="AL7" s="511">
        <f>IF('ปฏิทิน'!AL5="","",CHOOSE(WEEKDAY('ปฏิทิน'!AL5,2),"จ.","อ.","พ.","พฤ.","ศ.","ส.","อา."))</f>
        <v/>
      </c>
      <c r="AM7" s="512">
        <f>IF('ปฏิทิน'!AM5="","",CHOOSE(WEEKDAY('ปฏิทิน'!AM5,2),"จ.","อ.","พ.","พฤ.","ศ.","ส.","อา."))</f>
        <v/>
      </c>
      <c r="AN7" s="512">
        <f>IF('ปฏิทิน'!AN5="","",CHOOSE(WEEKDAY('ปฏิทิน'!AN5,2),"จ.","อ.","พ.","พฤ.","ศ.","ส.","อา."))</f>
        <v/>
      </c>
      <c r="AO7" s="512">
        <f>IF('ปฏิทิน'!AO5="","",CHOOSE(WEEKDAY('ปฏิทิน'!AO5,2),"จ.","อ.","พ.","พฤ.","ศ.","ส.","อา."))</f>
        <v/>
      </c>
      <c r="AP7" s="512">
        <f>IF('ปฏิทิน'!AP5="","",CHOOSE(WEEKDAY('ปฏิทิน'!AP5,2),"จ.","อ.","พ.","พฤ.","ศ.","ส.","อา."))</f>
        <v/>
      </c>
      <c r="AQ7" s="512">
        <f>IF('ปฏิทิน'!AQ5="","",CHOOSE(WEEKDAY('ปฏิทิน'!AQ5,2),"จ.","อ.","พ.","พฤ.","ศ.","ส.","อา."))</f>
        <v/>
      </c>
      <c r="AR7" s="512">
        <f>IF('ปฏิทิน'!AR5="","",CHOOSE(WEEKDAY('ปฏิทิน'!AR5,2),"จ.","อ.","พ.","พฤ.","ศ.","ส.","อา."))</f>
        <v/>
      </c>
      <c r="AS7" s="512">
        <f>IF('ปฏิทิน'!AS5="","",CHOOSE(WEEKDAY('ปฏิทิน'!AS5,2),"จ.","อ.","พ.","พฤ.","ศ.","ส.","อา."))</f>
        <v/>
      </c>
      <c r="AT7" s="512">
        <f>IF('ปฏิทิน'!AT5="","",CHOOSE(WEEKDAY('ปฏิทิน'!AT5,2),"จ.","อ.","พ.","พฤ.","ศ.","ส.","อา."))</f>
        <v/>
      </c>
      <c r="AU7" s="512">
        <f>IF('ปฏิทิน'!AU5="","",CHOOSE(WEEKDAY('ปฏิทิน'!AU5,2),"จ.","อ.","พ.","พฤ.","ศ.","ส.","อา."))</f>
        <v/>
      </c>
      <c r="AV7" s="512">
        <f>IF('ปฏิทิน'!AV5="","",CHOOSE(WEEKDAY('ปฏิทิน'!AV5,2),"จ.","อ.","พ.","พฤ.","ศ.","ส.","อา."))</f>
        <v/>
      </c>
      <c r="AW7" s="512">
        <f>IF('ปฏิทิน'!AW5="","",CHOOSE(WEEKDAY('ปฏิทิน'!AW5,2),"จ.","อ.","พ.","พฤ.","ศ.","ส.","อา."))</f>
        <v/>
      </c>
      <c r="AX7" s="512">
        <f>IF('ปฏิทิน'!AX5="","",CHOOSE(WEEKDAY('ปฏิทิน'!AX5,2),"จ.","อ.","พ.","พฤ.","ศ.","ส.","อา."))</f>
        <v/>
      </c>
      <c r="AY7" s="512">
        <f>IF('ปฏิทิน'!AY5="","",CHOOSE(WEEKDAY('ปฏิทิน'!AY5,2),"จ.","อ.","พ.","พฤ.","ศ.","ส.","อา."))</f>
        <v/>
      </c>
      <c r="AZ7" s="512">
        <f>IF('ปฏิทิน'!AZ5="","",CHOOSE(WEEKDAY('ปฏิทิน'!AZ5,2),"จ.","อ.","พ.","พฤ.","ศ.","ส.","อา."))</f>
        <v/>
      </c>
      <c r="BA7" s="512">
        <f>IF('ปฏิทิน'!BA5="","",CHOOSE(WEEKDAY('ปฏิทิน'!BA5,2),"จ.","อ.","พ.","พฤ.","ศ.","ส.","อา."))</f>
        <v/>
      </c>
      <c r="BB7" s="512">
        <f>IF('ปฏิทิน'!BB5="","",CHOOSE(WEEKDAY('ปฏิทิน'!BB5,2),"จ.","อ.","พ.","พฤ.","ศ.","ส.","อา."))</f>
        <v/>
      </c>
      <c r="BC7" s="512">
        <f>IF('ปฏิทิน'!BC5="","",CHOOSE(WEEKDAY('ปฏิทิน'!BC5,2),"จ.","อ.","พ.","พฤ.","ศ.","ส.","อา."))</f>
        <v/>
      </c>
      <c r="BD7" s="512">
        <f>IF('ปฏิทิน'!BD5="","",CHOOSE(WEEKDAY('ปฏิทิน'!BD5,2),"จ.","อ.","พ.","พฤ.","ศ.","ส.","อา."))</f>
        <v/>
      </c>
      <c r="BE7" s="512">
        <f>IF('ปฏิทิน'!BE5="","",CHOOSE(WEEKDAY('ปฏิทิน'!BE5,2),"จ.","อ.","พ.","พฤ.","ศ.","ส.","อา."))</f>
        <v/>
      </c>
      <c r="BF7" s="512">
        <f>IF('ปฏิทิน'!BF5="","",CHOOSE(WEEKDAY('ปฏิทิน'!BF5,2),"จ.","อ.","พ.","พฤ.","ศ.","ส.","อา."))</f>
        <v/>
      </c>
      <c r="BG7" s="512">
        <f>IF('ปฏิทิน'!BG5="","",CHOOSE(WEEKDAY('ปฏิทิน'!BG5,2),"จ.","อ.","พ.","พฤ.","ศ.","ส.","อา."))</f>
        <v/>
      </c>
      <c r="BH7" s="512">
        <f>IF('ปฏิทิน'!BH5="","",CHOOSE(WEEKDAY('ปฏิทิน'!BH5,2),"จ.","อ.","พ.","พฤ.","ศ.","ส.","อา."))</f>
        <v/>
      </c>
      <c r="BI7" s="512">
        <f>IF('ปฏิทิน'!BI5="","",CHOOSE(WEEKDAY('ปฏิทิน'!BI5,2),"จ.","อ.","พ.","พฤ.","ศ.","ส.","อา."))</f>
        <v/>
      </c>
      <c r="BJ7" s="512">
        <f>IF('ปฏิทิน'!BJ5="","",CHOOSE(WEEKDAY('ปฏิทิน'!BJ5,2),"จ.","อ.","พ.","พฤ.","ศ.","ส.","อา."))</f>
        <v/>
      </c>
      <c r="BK7" s="512">
        <f>IF('ปฏิทิน'!BK5="","",CHOOSE(WEEKDAY('ปฏิทิน'!BK5,2),"จ.","อ.","พ.","พฤ.","ศ.","ส.","อา."))</f>
        <v/>
      </c>
      <c r="BL7" s="512">
        <f>IF('ปฏิทิน'!BL5="","",CHOOSE(WEEKDAY('ปฏิทิน'!BL5,2),"จ.","อ.","พ.","พฤ.","ศ.","ส.","อา."))</f>
        <v/>
      </c>
      <c r="BM7" s="512">
        <f>IF('ปฏิทิน'!BM5="","",CHOOSE(WEEKDAY('ปฏิทิน'!BM5,2),"จ.","อ.","พ.","พฤ.","ศ.","ส.","อา."))</f>
        <v/>
      </c>
      <c r="BN7" s="512">
        <f>IF('ปฏิทิน'!BN5="","",CHOOSE(WEEKDAY('ปฏิทิน'!BN5,2),"จ.","อ.","พ.","พฤ.","ศ.","ส.","อา."))</f>
        <v/>
      </c>
      <c r="BO7" s="512">
        <f>IF('ปฏิทิน'!BO5="","",CHOOSE(WEEKDAY('ปฏิทิน'!BO5,2),"จ.","อ.","พ.","พฤ.","ศ.","ส.","อา."))</f>
        <v/>
      </c>
      <c r="BP7" s="512">
        <f>IF('ปฏิทิน'!BP5="","",CHOOSE(WEEKDAY('ปฏิทิน'!BP5,2),"จ.","อ.","พ.","พฤ.","ศ.","ส.","อา."))</f>
        <v/>
      </c>
      <c r="BQ7" s="513" t="n"/>
      <c r="BT7" s="511">
        <f>IF('ปฏิทิน'!BT5="","",CHOOSE(WEEKDAY('ปฏิทิน'!BT5,2),"จ.","อ.","พ.","พฤ.","ศ.","ส.","อา."))</f>
        <v/>
      </c>
      <c r="BU7" s="512">
        <f>IF('ปฏิทิน'!BU5="","",CHOOSE(WEEKDAY('ปฏิทิน'!BU5,2),"จ.","อ.","พ.","พฤ.","ศ.","ส.","อา."))</f>
        <v/>
      </c>
      <c r="BV7" s="512">
        <f>IF('ปฏิทิน'!BV5="","",CHOOSE(WEEKDAY('ปฏิทิน'!BV5,2),"จ.","อ.","พ.","พฤ.","ศ.","ส.","อา."))</f>
        <v/>
      </c>
      <c r="BW7" s="512">
        <f>IF('ปฏิทิน'!BW5="","",CHOOSE(WEEKDAY('ปฏิทิน'!BW5,2),"จ.","อ.","พ.","พฤ.","ศ.","ส.","อา."))</f>
        <v/>
      </c>
      <c r="BX7" s="512">
        <f>IF('ปฏิทิน'!BX5="","",CHOOSE(WEEKDAY('ปฏิทิน'!BX5,2),"จ.","อ.","พ.","พฤ.","ศ.","ส.","อา."))</f>
        <v/>
      </c>
      <c r="BY7" s="512">
        <f>IF('ปฏิทิน'!BY5="","",CHOOSE(WEEKDAY('ปฏิทิน'!BY5,2),"จ.","อ.","พ.","พฤ.","ศ.","ส.","อา."))</f>
        <v/>
      </c>
      <c r="BZ7" s="512">
        <f>IF('ปฏิทิน'!BZ5="","",CHOOSE(WEEKDAY('ปฏิทิน'!BZ5,2),"จ.","อ.","พ.","พฤ.","ศ.","ส.","อา."))</f>
        <v/>
      </c>
      <c r="CA7" s="512">
        <f>IF('ปฏิทิน'!CA5="","",CHOOSE(WEEKDAY('ปฏิทิน'!CA5,2),"จ.","อ.","พ.","พฤ.","ศ.","ส.","อา."))</f>
        <v/>
      </c>
      <c r="CB7" s="512">
        <f>IF('ปฏิทิน'!CB5="","",CHOOSE(WEEKDAY('ปฏิทิน'!CB5,2),"จ.","อ.","พ.","พฤ.","ศ.","ส.","อา."))</f>
        <v/>
      </c>
      <c r="CC7" s="512">
        <f>IF('ปฏิทิน'!CC5="","",CHOOSE(WEEKDAY('ปฏิทิน'!CC5,2),"จ.","อ.","พ.","พฤ.","ศ.","ส.","อา."))</f>
        <v/>
      </c>
      <c r="CD7" s="512">
        <f>IF('ปฏิทิน'!CD5="","",CHOOSE(WEEKDAY('ปฏิทิน'!CD5,2),"จ.","อ.","พ.","พฤ.","ศ.","ส.","อา."))</f>
        <v/>
      </c>
      <c r="CE7" s="512">
        <f>IF('ปฏิทิน'!CE5="","",CHOOSE(WEEKDAY('ปฏิทิน'!CE5,2),"จ.","อ.","พ.","พฤ.","ศ.","ส.","อา."))</f>
        <v/>
      </c>
      <c r="CF7" s="512">
        <f>IF('ปฏิทิน'!CF5="","",CHOOSE(WEEKDAY('ปฏิทิน'!CF5,2),"จ.","อ.","พ.","พฤ.","ศ.","ส.","อา."))</f>
        <v/>
      </c>
      <c r="CG7" s="512">
        <f>IF('ปฏิทิน'!CG5="","",CHOOSE(WEEKDAY('ปฏิทิน'!CG5,2),"จ.","อ.","พ.","พฤ.","ศ.","ส.","อา."))</f>
        <v/>
      </c>
      <c r="CH7" s="512">
        <f>IF('ปฏิทิน'!CH5="","",CHOOSE(WEEKDAY('ปฏิทิน'!CH5,2),"จ.","อ.","พ.","พฤ.","ศ.","ส.","อา."))</f>
        <v/>
      </c>
      <c r="CI7" s="512">
        <f>IF('ปฏิทิน'!CI5="","",CHOOSE(WEEKDAY('ปฏิทิน'!CI5,2),"จ.","อ.","พ.","พฤ.","ศ.","ส.","อา."))</f>
        <v/>
      </c>
      <c r="CJ7" s="512">
        <f>IF('ปฏิทิน'!CJ5="","",CHOOSE(WEEKDAY('ปฏิทิน'!CJ5,2),"จ.","อ.","พ.","พฤ.","ศ.","ส.","อา."))</f>
        <v/>
      </c>
      <c r="CK7" s="512">
        <f>IF('ปฏิทิน'!CK5="","",CHOOSE(WEEKDAY('ปฏิทิน'!CK5,2),"จ.","อ.","พ.","พฤ.","ศ.","ส.","อา."))</f>
        <v/>
      </c>
      <c r="CL7" s="512">
        <f>IF('ปฏิทิน'!CL5="","",CHOOSE(WEEKDAY('ปฏิทิน'!CL5,2),"จ.","อ.","พ.","พฤ.","ศ.","ส.","อา."))</f>
        <v/>
      </c>
      <c r="CM7" s="512">
        <f>IF('ปฏิทิน'!CM5="","",CHOOSE(WEEKDAY('ปฏิทิน'!CM5,2),"จ.","อ.","พ.","พฤ.","ศ.","ส.","อา."))</f>
        <v/>
      </c>
      <c r="CN7" s="512">
        <f>IF('ปฏิทิน'!CN5="","",CHOOSE(WEEKDAY('ปฏิทิน'!CN5,2),"จ.","อ.","พ.","พฤ.","ศ.","ส.","อา."))</f>
        <v/>
      </c>
      <c r="CO7" s="512">
        <f>IF('ปฏิทิน'!CO5="","",CHOOSE(WEEKDAY('ปฏิทิน'!CO5,2),"จ.","อ.","พ.","พฤ.","ศ.","ส.","อา."))</f>
        <v/>
      </c>
      <c r="CP7" s="512">
        <f>IF('ปฏิทิน'!CP5="","",CHOOSE(WEEKDAY('ปฏิทิน'!CP5,2),"จ.","อ.","พ.","พฤ.","ศ.","ส.","อา."))</f>
        <v/>
      </c>
      <c r="CQ7" s="512">
        <f>IF('ปฏิทิน'!CQ5="","",CHOOSE(WEEKDAY('ปฏิทิน'!CQ5,2),"จ.","อ.","พ.","พฤ.","ศ.","ส.","อา."))</f>
        <v/>
      </c>
      <c r="CR7" s="512">
        <f>IF('ปฏิทิน'!CR5="","",CHOOSE(WEEKDAY('ปฏิทิน'!CR5,2),"จ.","อ.","พ.","พฤ.","ศ.","ส.","อา."))</f>
        <v/>
      </c>
      <c r="CS7" s="512">
        <f>IF('ปฏิทิน'!CS5="","",CHOOSE(WEEKDAY('ปฏิทิน'!CS5,2),"จ.","อ.","พ.","พฤ.","ศ.","ส.","อา."))</f>
        <v/>
      </c>
      <c r="CT7" s="512">
        <f>IF('ปฏิทิน'!CT5="","",CHOOSE(WEEKDAY('ปฏิทิน'!CT5,2),"จ.","อ.","พ.","พฤ.","ศ.","ส.","อา."))</f>
        <v/>
      </c>
      <c r="CU7" s="512">
        <f>IF('ปฏิทิน'!CU5="","",CHOOSE(WEEKDAY('ปฏิทิน'!CU5,2),"จ.","อ.","พ.","พฤ.","ศ.","ส.","อา."))</f>
        <v/>
      </c>
      <c r="CV7" s="512">
        <f>IF('ปฏิทิน'!CV5="","",CHOOSE(WEEKDAY('ปฏิทิน'!CV5,2),"จ.","อ.","พ.","พฤ.","ศ.","ส.","อา."))</f>
        <v/>
      </c>
      <c r="CW7" s="512">
        <f>IF('ปฏิทิน'!CW5="","",CHOOSE(WEEKDAY('ปฏิทิน'!CW5,2),"จ.","อ.","พ.","พฤ.","ศ.","ส.","อา."))</f>
        <v/>
      </c>
      <c r="CX7" s="512">
        <f>IF('ปฏิทิน'!CX5="","",CHOOSE(WEEKDAY('ปฏิทิน'!CX5,2),"จ.","อ.","พ.","พฤ.","ศ.","ส.","อา."))</f>
        <v/>
      </c>
      <c r="CY7" s="513" t="n"/>
      <c r="DB7" s="511">
        <f>IF('ปฏิทิน'!DB5="","",CHOOSE(WEEKDAY('ปฏิทิน'!DB5,2),"จ.","อ.","พ.","พฤ.","ศ.","ส.","อา."))</f>
        <v/>
      </c>
      <c r="DC7" s="512">
        <f>IF('ปฏิทิน'!DC5="","",CHOOSE(WEEKDAY('ปฏิทิน'!DC5,2),"จ.","อ.","พ.","พฤ.","ศ.","ส.","อา."))</f>
        <v/>
      </c>
      <c r="DD7" s="512">
        <f>IF('ปฏิทิน'!DD5="","",CHOOSE(WEEKDAY('ปฏิทิน'!DD5,2),"จ.","อ.","พ.","พฤ.","ศ.","ส.","อา."))</f>
        <v/>
      </c>
      <c r="DE7" s="512">
        <f>IF('ปฏิทิน'!DE5="","",CHOOSE(WEEKDAY('ปฏิทิน'!DE5,2),"จ.","อ.","พ.","พฤ.","ศ.","ส.","อา."))</f>
        <v/>
      </c>
      <c r="DF7" s="512">
        <f>IF('ปฏิทิน'!DF5="","",CHOOSE(WEEKDAY('ปฏิทิน'!DF5,2),"จ.","อ.","พ.","พฤ.","ศ.","ส.","อา."))</f>
        <v/>
      </c>
      <c r="DG7" s="512">
        <f>IF('ปฏิทิน'!DG5="","",CHOOSE(WEEKDAY('ปฏิทิน'!DG5,2),"จ.","อ.","พ.","พฤ.","ศ.","ส.","อา."))</f>
        <v/>
      </c>
      <c r="DH7" s="512">
        <f>IF('ปฏิทิน'!DH5="","",CHOOSE(WEEKDAY('ปฏิทิน'!DH5,2),"จ.","อ.","พ.","พฤ.","ศ.","ส.","อา."))</f>
        <v/>
      </c>
      <c r="DI7" s="512">
        <f>IF('ปฏิทิน'!DI5="","",CHOOSE(WEEKDAY('ปฏิทิน'!DI5,2),"จ.","อ.","พ.","พฤ.","ศ.","ส.","อา."))</f>
        <v/>
      </c>
      <c r="DJ7" s="512">
        <f>IF('ปฏิทิน'!DJ5="","",CHOOSE(WEEKDAY('ปฏิทิน'!DJ5,2),"จ.","อ.","พ.","พฤ.","ศ.","ส.","อา."))</f>
        <v/>
      </c>
      <c r="DK7" s="512">
        <f>IF('ปฏิทิน'!DK5="","",CHOOSE(WEEKDAY('ปฏิทิน'!DK5,2),"จ.","อ.","พ.","พฤ.","ศ.","ส.","อา."))</f>
        <v/>
      </c>
      <c r="DL7" s="512">
        <f>IF('ปฏิทิน'!DL5="","",CHOOSE(WEEKDAY('ปฏิทิน'!DL5,2),"จ.","อ.","พ.","พฤ.","ศ.","ส.","อา."))</f>
        <v/>
      </c>
      <c r="DM7" s="512">
        <f>IF('ปฏิทิน'!DM5="","",CHOOSE(WEEKDAY('ปฏิทิน'!DM5,2),"จ.","อ.","พ.","พฤ.","ศ.","ส.","อา."))</f>
        <v/>
      </c>
      <c r="DN7" s="512">
        <f>IF('ปฏิทิน'!DN5="","",CHOOSE(WEEKDAY('ปฏิทิน'!DN5,2),"จ.","อ.","พ.","พฤ.","ศ.","ส.","อา."))</f>
        <v/>
      </c>
      <c r="DO7" s="512">
        <f>IF('ปฏิทิน'!DO5="","",CHOOSE(WEEKDAY('ปฏิทิน'!DO5,2),"จ.","อ.","พ.","พฤ.","ศ.","ส.","อา."))</f>
        <v/>
      </c>
      <c r="DP7" s="512">
        <f>IF('ปฏิทิน'!DP5="","",CHOOSE(WEEKDAY('ปฏิทิน'!DP5,2),"จ.","อ.","พ.","พฤ.","ศ.","ส.","อา."))</f>
        <v/>
      </c>
      <c r="DQ7" s="512">
        <f>IF('ปฏิทิน'!DQ5="","",CHOOSE(WEEKDAY('ปฏิทิน'!DQ5,2),"จ.","อ.","พ.","พฤ.","ศ.","ส.","อา."))</f>
        <v/>
      </c>
      <c r="DR7" s="512">
        <f>IF('ปฏิทิน'!DR5="","",CHOOSE(WEEKDAY('ปฏิทิน'!DR5,2),"จ.","อ.","พ.","พฤ.","ศ.","ส.","อา."))</f>
        <v/>
      </c>
      <c r="DS7" s="512">
        <f>IF('ปฏิทิน'!DS5="","",CHOOSE(WEEKDAY('ปฏิทิน'!DS5,2),"จ.","อ.","พ.","พฤ.","ศ.","ส.","อา."))</f>
        <v/>
      </c>
      <c r="DT7" s="512">
        <f>IF('ปฏิทิน'!DT5="","",CHOOSE(WEEKDAY('ปฏิทิน'!DT5,2),"จ.","อ.","พ.","พฤ.","ศ.","ส.","อา."))</f>
        <v/>
      </c>
      <c r="DU7" s="512">
        <f>IF('ปฏิทิน'!DU5="","",CHOOSE(WEEKDAY('ปฏิทิน'!DU5,2),"จ.","อ.","พ.","พฤ.","ศ.","ส.","อา."))</f>
        <v/>
      </c>
      <c r="DV7" s="512">
        <f>IF('ปฏิทิน'!DV5="","",CHOOSE(WEEKDAY('ปฏิทิน'!DV5,2),"จ.","อ.","พ.","พฤ.","ศ.","ส.","อา."))</f>
        <v/>
      </c>
      <c r="DW7" s="512">
        <f>IF('ปฏิทิน'!DW5="","",CHOOSE(WEEKDAY('ปฏิทิน'!DW5,2),"จ.","อ.","พ.","พฤ.","ศ.","ส.","อา."))</f>
        <v/>
      </c>
      <c r="DX7" s="512">
        <f>IF('ปฏิทิน'!DX5="","",CHOOSE(WEEKDAY('ปฏิทิน'!DX5,2),"จ.","อ.","พ.","พฤ.","ศ.","ส.","อา."))</f>
        <v/>
      </c>
      <c r="DY7" s="512">
        <f>IF('ปฏิทิน'!DY5="","",CHOOSE(WEEKDAY('ปฏิทิน'!DY5,2),"จ.","อ.","พ.","พฤ.","ศ.","ส.","อา."))</f>
        <v/>
      </c>
      <c r="DZ7" s="512">
        <f>IF('ปฏิทิน'!DZ5="","",CHOOSE(WEEKDAY('ปฏิทิน'!DZ5,2),"จ.","อ.","พ.","พฤ.","ศ.","ส.","อา."))</f>
        <v/>
      </c>
      <c r="EA7" s="512">
        <f>IF('ปฏิทิน'!EA5="","",CHOOSE(WEEKDAY('ปฏิทิน'!EA5,2),"จ.","อ.","พ.","พฤ.","ศ.","ส.","อา."))</f>
        <v/>
      </c>
      <c r="EB7" s="512">
        <f>IF('ปฏิทิน'!EB5="","",CHOOSE(WEEKDAY('ปฏิทิน'!EB5,2),"จ.","อ.","พ.","พฤ.","ศ.","ส.","อา."))</f>
        <v/>
      </c>
      <c r="EC7" s="512">
        <f>IF('ปฏิทิน'!EC5="","",CHOOSE(WEEKDAY('ปฏิทิน'!EC5,2),"จ.","อ.","พ.","พฤ.","ศ.","ส.","อา."))</f>
        <v/>
      </c>
      <c r="ED7" s="512">
        <f>IF('ปฏิทิน'!ED5="","",CHOOSE(WEEKDAY('ปฏิทิน'!ED5,2),"จ.","อ.","พ.","พฤ.","ศ.","ส.","อา."))</f>
        <v/>
      </c>
      <c r="EE7" s="512">
        <f>IF('ปฏิทิน'!EE5="","",CHOOSE(WEEKDAY('ปฏิทิน'!EE5,2),"จ.","อ.","พ.","พฤ.","ศ.","ส.","อา."))</f>
        <v/>
      </c>
      <c r="EF7" s="512">
        <f>IF('ปฏิทิน'!EF5="","",CHOOSE(WEEKDAY('ปฏิทิน'!EF5,2),"จ.","อ.","พ.","พฤ.","ศ.","ส.","อา."))</f>
        <v/>
      </c>
      <c r="EG7" s="513" t="n"/>
      <c r="EJ7" s="511">
        <f>IF('ปฏิทิน'!EJ5="","",CHOOSE(WEEKDAY('ปฏิทิน'!EJ5,2),"จ.","อ.","พ.","พฤ.","ศ.","ส.","อา."))</f>
        <v/>
      </c>
      <c r="EK7" s="512">
        <f>IF('ปฏิทิน'!EK5="","",CHOOSE(WEEKDAY('ปฏิทิน'!EK5,2),"จ.","อ.","พ.","พฤ.","ศ.","ส.","อา."))</f>
        <v/>
      </c>
      <c r="EL7" s="512">
        <f>IF('ปฏิทิน'!EL5="","",CHOOSE(WEEKDAY('ปฏิทิน'!EL5,2),"จ.","อ.","พ.","พฤ.","ศ.","ส.","อา."))</f>
        <v/>
      </c>
      <c r="EM7" s="512">
        <f>IF('ปฏิทิน'!EM5="","",CHOOSE(WEEKDAY('ปฏิทิน'!EM5,2),"จ.","อ.","พ.","พฤ.","ศ.","ส.","อา."))</f>
        <v/>
      </c>
      <c r="EN7" s="512">
        <f>IF('ปฏิทิน'!EN5="","",CHOOSE(WEEKDAY('ปฏิทิน'!EN5,2),"จ.","อ.","พ.","พฤ.","ศ.","ส.","อา."))</f>
        <v/>
      </c>
      <c r="EO7" s="512">
        <f>IF('ปฏิทิน'!EO5="","",CHOOSE(WEEKDAY('ปฏิทิน'!EO5,2),"จ.","อ.","พ.","พฤ.","ศ.","ส.","อา."))</f>
        <v/>
      </c>
      <c r="EP7" s="512">
        <f>IF('ปฏิทิน'!EP5="","",CHOOSE(WEEKDAY('ปฏิทิน'!EP5,2),"จ.","อ.","พ.","พฤ.","ศ.","ส.","อา."))</f>
        <v/>
      </c>
      <c r="EQ7" s="512">
        <f>IF('ปฏิทิน'!EQ5="","",CHOOSE(WEEKDAY('ปฏิทิน'!EQ5,2),"จ.","อ.","พ.","พฤ.","ศ.","ส.","อา."))</f>
        <v/>
      </c>
      <c r="ER7" s="512">
        <f>IF('ปฏิทิน'!ER5="","",CHOOSE(WEEKDAY('ปฏิทิน'!ER5,2),"จ.","อ.","พ.","พฤ.","ศ.","ส.","อา."))</f>
        <v/>
      </c>
      <c r="ES7" s="512">
        <f>IF('ปฏิทิน'!ES5="","",CHOOSE(WEEKDAY('ปฏิทิน'!ES5,2),"จ.","อ.","พ.","พฤ.","ศ.","ส.","อา."))</f>
        <v/>
      </c>
      <c r="ET7" s="512">
        <f>IF('ปฏิทิน'!ET5="","",CHOOSE(WEEKDAY('ปฏิทิน'!ET5,2),"จ.","อ.","พ.","พฤ.","ศ.","ส.","อา."))</f>
        <v/>
      </c>
      <c r="EU7" s="512">
        <f>IF('ปฏิทิน'!EU5="","",CHOOSE(WEEKDAY('ปฏิทิน'!EU5,2),"จ.","อ.","พ.","พฤ.","ศ.","ส.","อา."))</f>
        <v/>
      </c>
      <c r="EV7" s="512">
        <f>IF('ปฏิทิน'!EV5="","",CHOOSE(WEEKDAY('ปฏิทิน'!EV5,2),"จ.","อ.","พ.","พฤ.","ศ.","ส.","อา."))</f>
        <v/>
      </c>
      <c r="EW7" s="512">
        <f>IF('ปฏิทิน'!EW5="","",CHOOSE(WEEKDAY('ปฏิทิน'!EW5,2),"จ.","อ.","พ.","พฤ.","ศ.","ส.","อา."))</f>
        <v/>
      </c>
      <c r="EX7" s="512">
        <f>IF('ปฏิทิน'!EX5="","",CHOOSE(WEEKDAY('ปฏิทิน'!EX5,2),"จ.","อ.","พ.","พฤ.","ศ.","ส.","อา."))</f>
        <v/>
      </c>
      <c r="EY7" s="512">
        <f>IF('ปฏิทิน'!EY5="","",CHOOSE(WEEKDAY('ปฏิทิน'!EY5,2),"จ.","อ.","พ.","พฤ.","ศ.","ส.","อา."))</f>
        <v/>
      </c>
      <c r="EZ7" s="512">
        <f>IF('ปฏิทิน'!EZ5="","",CHOOSE(WEEKDAY('ปฏิทิน'!EZ5,2),"จ.","อ.","พ.","พฤ.","ศ.","ส.","อา."))</f>
        <v/>
      </c>
      <c r="FA7" s="512">
        <f>IF('ปฏิทิน'!FA5="","",CHOOSE(WEEKDAY('ปฏิทิน'!FA5,2),"จ.","อ.","พ.","พฤ.","ศ.","ส.","อา."))</f>
        <v/>
      </c>
      <c r="FB7" s="512">
        <f>IF('ปฏิทิน'!FB5="","",CHOOSE(WEEKDAY('ปฏิทิน'!FB5,2),"จ.","อ.","พ.","พฤ.","ศ.","ส.","อา."))</f>
        <v/>
      </c>
      <c r="FC7" s="512">
        <f>IF('ปฏิทิน'!FC5="","",CHOOSE(WEEKDAY('ปฏิทิน'!FC5,2),"จ.","อ.","พ.","พฤ.","ศ.","ส.","อา."))</f>
        <v/>
      </c>
      <c r="FD7" s="512">
        <f>IF('ปฏิทิน'!FD5="","",CHOOSE(WEEKDAY('ปฏิทิน'!FD5,2),"จ.","อ.","พ.","พฤ.","ศ.","ส.","อา."))</f>
        <v/>
      </c>
      <c r="FE7" s="512">
        <f>IF('ปฏิทิน'!FE5="","",CHOOSE(WEEKDAY('ปฏิทิน'!FE5,2),"จ.","อ.","พ.","พฤ.","ศ.","ส.","อา."))</f>
        <v/>
      </c>
      <c r="FF7" s="512">
        <f>IF('ปฏิทิน'!FF5="","",CHOOSE(WEEKDAY('ปฏิทิน'!FF5,2),"จ.","อ.","พ.","พฤ.","ศ.","ส.","อา."))</f>
        <v/>
      </c>
      <c r="FG7" s="512">
        <f>IF('ปฏิทิน'!FG5="","",CHOOSE(WEEKDAY('ปฏิทิน'!FG5,2),"จ.","อ.","พ.","พฤ.","ศ.","ส.","อา."))</f>
        <v/>
      </c>
      <c r="FH7" s="512">
        <f>IF('ปฏิทิน'!FH5="","",CHOOSE(WEEKDAY('ปฏิทิน'!FH5,2),"จ.","อ.","พ.","พฤ.","ศ.","ส.","อา."))</f>
        <v/>
      </c>
      <c r="FI7" s="512">
        <f>IF('ปฏิทิน'!FI5="","",CHOOSE(WEEKDAY('ปฏิทิน'!FI5,2),"จ.","อ.","พ.","พฤ.","ศ.","ส.","อา."))</f>
        <v/>
      </c>
      <c r="FJ7" s="512">
        <f>IF('ปฏิทิน'!FJ5="","",CHOOSE(WEEKDAY('ปฏิทิน'!FJ5,2),"จ.","อ.","พ.","พฤ.","ศ.","ส.","อา."))</f>
        <v/>
      </c>
      <c r="FK7" s="512">
        <f>IF('ปฏิทิน'!FK5="","",CHOOSE(WEEKDAY('ปฏิทิน'!FK5,2),"จ.","อ.","พ.","พฤ.","ศ.","ส.","อา."))</f>
        <v/>
      </c>
      <c r="FL7" s="512">
        <f>IF('ปฏิทิน'!FL5="","",CHOOSE(WEEKDAY('ปฏิทิน'!FL5,2),"จ.","อ.","พ.","พฤ.","ศ.","ส.","อา."))</f>
        <v/>
      </c>
      <c r="FM7" s="512">
        <f>IF('ปฏิทิน'!FM5="","",CHOOSE(WEEKDAY('ปฏิทิน'!FM5,2),"จ.","อ.","พ.","พฤ.","ศ.","ส.","อา."))</f>
        <v/>
      </c>
      <c r="FN7" s="512">
        <f>IF('ปฏิทิน'!FN5="","",CHOOSE(WEEKDAY('ปฏิทิน'!FN5,2),"จ.","อ.","พ.","พฤ.","ศ.","ส.","อา."))</f>
        <v/>
      </c>
      <c r="FO7" s="513" t="n"/>
    </row>
    <row r="8" ht="64" customHeight="1">
      <c r="D8" s="514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513" t="n"/>
      <c r="AL8" s="514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513" t="n"/>
      <c r="BT8" s="514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513" t="n"/>
      <c r="DB8" s="514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513" t="n"/>
      <c r="EJ8" s="514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513" t="n"/>
    </row>
    <row r="9">
      <c r="A9" s="218" t="n">
        <v>1</v>
      </c>
      <c r="B9" s="219">
        <f>'ข้อมูลนักเรียน'!T9</f>
        <v/>
      </c>
      <c r="C9" s="515">
        <f>IF(B9="","",IFERROR(COUNTIF(D9:FQ9,"ห")/(COUNTIF(D9:FQ9,"ห")+COUNTIF(D9:FQ9,"ล")+COUNTIF(D9:FQ9,"ง")),""))</f>
        <v/>
      </c>
      <c r="D9" s="516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17">
        <f>IF($B9="","",COUNTIF(D9:AH9,"ห"))</f>
        <v/>
      </c>
      <c r="AJ9" s="518">
        <f>IF($B9="","",COUNTIF(D9:AH9,"ล"))</f>
        <v/>
      </c>
      <c r="AK9" s="519">
        <f>IF($B9="","",COUNTIF(D9:AH9,"ง"))</f>
        <v/>
      </c>
      <c r="AL9" s="516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17">
        <f>IF($B9="","",COUNTIF(AL9:BP9,"ห"))</f>
        <v/>
      </c>
      <c r="BR9" s="518">
        <f>IF($B9="","",COUNTIF(AL9:BP9,"ล"))</f>
        <v/>
      </c>
      <c r="BS9" s="519">
        <f>IF($B9="","",COUNTIF(AL9:BP9,"ง"))</f>
        <v/>
      </c>
      <c r="BT9" s="516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17">
        <f>IF($B9="","",COUNTIF(BT9:CX9,"ห"))</f>
        <v/>
      </c>
      <c r="CZ9" s="518">
        <f>IF($B9="","",COUNTIF(BT9:CX9,"ล"))</f>
        <v/>
      </c>
      <c r="DA9" s="519">
        <f>IF($B9="","",COUNTIF(BT9:CX9,"ง"))</f>
        <v/>
      </c>
      <c r="DB9" s="516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17">
        <f>IF($B9="","",COUNTIF(DB9:EF9,"ห"))</f>
        <v/>
      </c>
      <c r="EH9" s="518">
        <f>IF($B9="","",COUNTIF(DB9:EF9,"ล"))</f>
        <v/>
      </c>
      <c r="EI9" s="519">
        <f>IF($B9="","",COUNTIF(DB9:EF9,"ง"))</f>
        <v/>
      </c>
      <c r="EJ9" s="516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17">
        <f>IF($B9="","",COUNTIF(EJ9:FN9,"ห"))</f>
        <v/>
      </c>
      <c r="FP9" s="518">
        <f>IF($B9="","",COUNTIF(EJ9:FN9,"ล"))</f>
        <v/>
      </c>
      <c r="FQ9" s="519">
        <f>IF($B9="","",COUNTIF(EJ9:FN9,"ง"))</f>
        <v/>
      </c>
    </row>
    <row r="10">
      <c r="A10" s="226" t="n">
        <v>2</v>
      </c>
      <c r="B10" s="227">
        <f>'ข้อมูลนักเรียน'!T10</f>
        <v/>
      </c>
      <c r="C10" s="515">
        <f>IF(B10="","",IFERROR(COUNTIF(D10:FQ10,"ห")/(COUNTIF(D10:FQ10,"ห")+COUNTIF(D10:FQ10,"ล")+COUNTIF(D10:FQ10,"ง")),""))</f>
        <v/>
      </c>
      <c r="D10" s="516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17">
        <f>IF($B10="","",COUNTIF(D10:AH10,"ห"))</f>
        <v/>
      </c>
      <c r="AJ10" s="518">
        <f>IF($B10="","",COUNTIF(D10:AH10,"ล"))</f>
        <v/>
      </c>
      <c r="AK10" s="519">
        <f>IF($B10="","",COUNTIF(D10:AH10,"ง"))</f>
        <v/>
      </c>
      <c r="AL10" s="516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17">
        <f>IF($B10="","",COUNTIF(AL10:BP10,"ห"))</f>
        <v/>
      </c>
      <c r="BR10" s="518">
        <f>IF($B10="","",COUNTIF(AL10:BP10,"ล"))</f>
        <v/>
      </c>
      <c r="BS10" s="519">
        <f>IF($B10="","",COUNTIF(AL10:BP10,"ง"))</f>
        <v/>
      </c>
      <c r="BT10" s="516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17">
        <f>IF($B10="","",COUNTIF(BT10:CX10,"ห"))</f>
        <v/>
      </c>
      <c r="CZ10" s="518">
        <f>IF($B10="","",COUNTIF(BT10:CX10,"ล"))</f>
        <v/>
      </c>
      <c r="DA10" s="519">
        <f>IF($B10="","",COUNTIF(BT10:CX10,"ง"))</f>
        <v/>
      </c>
      <c r="DB10" s="516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17">
        <f>IF($B10="","",COUNTIF(DB10:EF10,"ห"))</f>
        <v/>
      </c>
      <c r="EH10" s="518">
        <f>IF($B10="","",COUNTIF(DB10:EF10,"ล"))</f>
        <v/>
      </c>
      <c r="EI10" s="519">
        <f>IF($B10="","",COUNTIF(DB10:EF10,"ง"))</f>
        <v/>
      </c>
      <c r="EJ10" s="516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17">
        <f>IF($B10="","",COUNTIF(EJ10:FN10,"ห"))</f>
        <v/>
      </c>
      <c r="FP10" s="518">
        <f>IF($B10="","",COUNTIF(EJ10:FN10,"ล"))</f>
        <v/>
      </c>
      <c r="FQ10" s="519">
        <f>IF($B10="","",COUNTIF(EJ10:FN10,"ง"))</f>
        <v/>
      </c>
    </row>
    <row r="11">
      <c r="A11" s="218" t="n">
        <v>3</v>
      </c>
      <c r="B11" s="219">
        <f>'ข้อมูลนักเรียน'!T11</f>
        <v/>
      </c>
      <c r="C11" s="515">
        <f>IF(B11="","",IFERROR(COUNTIF(D11:FQ11,"ห")/(COUNTIF(D11:FQ11,"ห")+COUNTIF(D11:FQ11,"ล")+COUNTIF(D11:FQ11,"ง")),""))</f>
        <v/>
      </c>
      <c r="D11" s="516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17">
        <f>IF($B11="","",COUNTIF(D11:AH11,"ห"))</f>
        <v/>
      </c>
      <c r="AJ11" s="518">
        <f>IF($B11="","",COUNTIF(D11:AH11,"ล"))</f>
        <v/>
      </c>
      <c r="AK11" s="519">
        <f>IF($B11="","",COUNTIF(D11:AH11,"ง"))</f>
        <v/>
      </c>
      <c r="AL11" s="516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17">
        <f>IF($B11="","",COUNTIF(AL11:BP11,"ห"))</f>
        <v/>
      </c>
      <c r="BR11" s="518">
        <f>IF($B11="","",COUNTIF(AL11:BP11,"ล"))</f>
        <v/>
      </c>
      <c r="BS11" s="519">
        <f>IF($B11="","",COUNTIF(AL11:BP11,"ง"))</f>
        <v/>
      </c>
      <c r="BT11" s="516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17">
        <f>IF($B11="","",COUNTIF(BT11:CX11,"ห"))</f>
        <v/>
      </c>
      <c r="CZ11" s="518">
        <f>IF($B11="","",COUNTIF(BT11:CX11,"ล"))</f>
        <v/>
      </c>
      <c r="DA11" s="519">
        <f>IF($B11="","",COUNTIF(BT11:CX11,"ง"))</f>
        <v/>
      </c>
      <c r="DB11" s="516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17">
        <f>IF($B11="","",COUNTIF(DB11:EF11,"ห"))</f>
        <v/>
      </c>
      <c r="EH11" s="518">
        <f>IF($B11="","",COUNTIF(DB11:EF11,"ล"))</f>
        <v/>
      </c>
      <c r="EI11" s="519">
        <f>IF($B11="","",COUNTIF(DB11:EF11,"ง"))</f>
        <v/>
      </c>
      <c r="EJ11" s="516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17">
        <f>IF($B11="","",COUNTIF(EJ11:FN11,"ห"))</f>
        <v/>
      </c>
      <c r="FP11" s="518">
        <f>IF($B11="","",COUNTIF(EJ11:FN11,"ล"))</f>
        <v/>
      </c>
      <c r="FQ11" s="519">
        <f>IF($B11="","",COUNTIF(EJ11:FN11,"ง"))</f>
        <v/>
      </c>
    </row>
    <row r="12">
      <c r="A12" s="226" t="n">
        <v>4</v>
      </c>
      <c r="B12" s="227">
        <f>'ข้อมูลนักเรียน'!T12</f>
        <v/>
      </c>
      <c r="C12" s="515">
        <f>IF(B12="","",IFERROR(COUNTIF(D12:FQ12,"ห")/(COUNTIF(D12:FQ12,"ห")+COUNTIF(D12:FQ12,"ล")+COUNTIF(D12:FQ12,"ง")),""))</f>
        <v/>
      </c>
      <c r="D12" s="516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17">
        <f>IF($B12="","",COUNTIF(D12:AH12,"ห"))</f>
        <v/>
      </c>
      <c r="AJ12" s="518">
        <f>IF($B12="","",COUNTIF(D12:AH12,"ล"))</f>
        <v/>
      </c>
      <c r="AK12" s="519">
        <f>IF($B12="","",COUNTIF(D12:AH12,"ง"))</f>
        <v/>
      </c>
      <c r="AL12" s="516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17">
        <f>IF($B12="","",COUNTIF(AL12:BP12,"ห"))</f>
        <v/>
      </c>
      <c r="BR12" s="518">
        <f>IF($B12="","",COUNTIF(AL12:BP12,"ล"))</f>
        <v/>
      </c>
      <c r="BS12" s="519">
        <f>IF($B12="","",COUNTIF(AL12:BP12,"ง"))</f>
        <v/>
      </c>
      <c r="BT12" s="516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17">
        <f>IF($B12="","",COUNTIF(BT12:CX12,"ห"))</f>
        <v/>
      </c>
      <c r="CZ12" s="518">
        <f>IF($B12="","",COUNTIF(BT12:CX12,"ล"))</f>
        <v/>
      </c>
      <c r="DA12" s="519">
        <f>IF($B12="","",COUNTIF(BT12:CX12,"ง"))</f>
        <v/>
      </c>
      <c r="DB12" s="516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17">
        <f>IF($B12="","",COUNTIF(DB12:EF12,"ห"))</f>
        <v/>
      </c>
      <c r="EH12" s="518">
        <f>IF($B12="","",COUNTIF(DB12:EF12,"ล"))</f>
        <v/>
      </c>
      <c r="EI12" s="519">
        <f>IF($B12="","",COUNTIF(DB12:EF12,"ง"))</f>
        <v/>
      </c>
      <c r="EJ12" s="516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17">
        <f>IF($B12="","",COUNTIF(EJ12:FN12,"ห"))</f>
        <v/>
      </c>
      <c r="FP12" s="518">
        <f>IF($B12="","",COUNTIF(EJ12:FN12,"ล"))</f>
        <v/>
      </c>
      <c r="FQ12" s="519">
        <f>IF($B12="","",COUNTIF(EJ12:FN12,"ง"))</f>
        <v/>
      </c>
    </row>
    <row r="13">
      <c r="A13" s="218" t="n">
        <v>5</v>
      </c>
      <c r="B13" s="219">
        <f>'ข้อมูลนักเรียน'!T13</f>
        <v/>
      </c>
      <c r="C13" s="515">
        <f>IF(B13="","",IFERROR(COUNTIF(D13:FQ13,"ห")/(COUNTIF(D13:FQ13,"ห")+COUNTIF(D13:FQ13,"ล")+COUNTIF(D13:FQ13,"ง")),""))</f>
        <v/>
      </c>
      <c r="D13" s="516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17">
        <f>IF($B13="","",COUNTIF(D13:AH13,"ห"))</f>
        <v/>
      </c>
      <c r="AJ13" s="518">
        <f>IF($B13="","",COUNTIF(D13:AH13,"ล"))</f>
        <v/>
      </c>
      <c r="AK13" s="519">
        <f>IF($B13="","",COUNTIF(D13:AH13,"ง"))</f>
        <v/>
      </c>
      <c r="AL13" s="516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17">
        <f>IF($B13="","",COUNTIF(AL13:BP13,"ห"))</f>
        <v/>
      </c>
      <c r="BR13" s="518">
        <f>IF($B13="","",COUNTIF(AL13:BP13,"ล"))</f>
        <v/>
      </c>
      <c r="BS13" s="519">
        <f>IF($B13="","",COUNTIF(AL13:BP13,"ง"))</f>
        <v/>
      </c>
      <c r="BT13" s="516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17">
        <f>IF($B13="","",COUNTIF(BT13:CX13,"ห"))</f>
        <v/>
      </c>
      <c r="CZ13" s="518">
        <f>IF($B13="","",COUNTIF(BT13:CX13,"ล"))</f>
        <v/>
      </c>
      <c r="DA13" s="519">
        <f>IF($B13="","",COUNTIF(BT13:CX13,"ง"))</f>
        <v/>
      </c>
      <c r="DB13" s="516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17">
        <f>IF($B13="","",COUNTIF(DB13:EF13,"ห"))</f>
        <v/>
      </c>
      <c r="EH13" s="518">
        <f>IF($B13="","",COUNTIF(DB13:EF13,"ล"))</f>
        <v/>
      </c>
      <c r="EI13" s="519">
        <f>IF($B13="","",COUNTIF(DB13:EF13,"ง"))</f>
        <v/>
      </c>
      <c r="EJ13" s="516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17">
        <f>IF($B13="","",COUNTIF(EJ13:FN13,"ห"))</f>
        <v/>
      </c>
      <c r="FP13" s="518">
        <f>IF($B13="","",COUNTIF(EJ13:FN13,"ล"))</f>
        <v/>
      </c>
      <c r="FQ13" s="519">
        <f>IF($B13="","",COUNTIF(EJ13:FN13,"ง"))</f>
        <v/>
      </c>
    </row>
    <row r="14">
      <c r="A14" s="520" t="inlineStr">
        <is>
          <t>ทานหมด (คน)</t>
        </is>
      </c>
      <c r="B14" s="184" t="n"/>
      <c r="C14" s="184" t="n"/>
      <c r="D14" s="521">
        <f>IF(D$4&lt;&gt;1,"",COUNTIF(D9:D13,"ห"))</f>
        <v/>
      </c>
      <c r="E14" s="522">
        <f>IF(E$4&lt;&gt;1,"",COUNTIF(E9:E13,"ห"))</f>
        <v/>
      </c>
      <c r="F14" s="522">
        <f>IF(F$4&lt;&gt;1,"",COUNTIF(F9:F13,"ห"))</f>
        <v/>
      </c>
      <c r="G14" s="522">
        <f>IF(G$4&lt;&gt;1,"",COUNTIF(G9:G13,"ห"))</f>
        <v/>
      </c>
      <c r="H14" s="522">
        <f>IF(H$4&lt;&gt;1,"",COUNTIF(H9:H13,"ห"))</f>
        <v/>
      </c>
      <c r="I14" s="522">
        <f>IF(I$4&lt;&gt;1,"",COUNTIF(I9:I13,"ห"))</f>
        <v/>
      </c>
      <c r="J14" s="522">
        <f>IF(J$4&lt;&gt;1,"",COUNTIF(J9:J13,"ห"))</f>
        <v/>
      </c>
      <c r="K14" s="522">
        <f>IF(K$4&lt;&gt;1,"",COUNTIF(K9:K13,"ห"))</f>
        <v/>
      </c>
      <c r="L14" s="522">
        <f>IF(L$4&lt;&gt;1,"",COUNTIF(L9:L13,"ห"))</f>
        <v/>
      </c>
      <c r="M14" s="522">
        <f>IF(M$4&lt;&gt;1,"",COUNTIF(M9:M13,"ห"))</f>
        <v/>
      </c>
      <c r="N14" s="522">
        <f>IF(N$4&lt;&gt;1,"",COUNTIF(N9:N13,"ห"))</f>
        <v/>
      </c>
      <c r="O14" s="522">
        <f>IF(O$4&lt;&gt;1,"",COUNTIF(O9:O13,"ห"))</f>
        <v/>
      </c>
      <c r="P14" s="522">
        <f>IF(P$4&lt;&gt;1,"",COUNTIF(P9:P13,"ห"))</f>
        <v/>
      </c>
      <c r="Q14" s="522">
        <f>IF(Q$4&lt;&gt;1,"",COUNTIF(Q9:Q13,"ห"))</f>
        <v/>
      </c>
      <c r="R14" s="522">
        <f>IF(R$4&lt;&gt;1,"",COUNTIF(R9:R13,"ห"))</f>
        <v/>
      </c>
      <c r="S14" s="522">
        <f>IF(S$4&lt;&gt;1,"",COUNTIF(S9:S13,"ห"))</f>
        <v/>
      </c>
      <c r="T14" s="522">
        <f>IF(T$4&lt;&gt;1,"",COUNTIF(T9:T13,"ห"))</f>
        <v/>
      </c>
      <c r="U14" s="522">
        <f>IF(U$4&lt;&gt;1,"",COUNTIF(U9:U13,"ห"))</f>
        <v/>
      </c>
      <c r="V14" s="522">
        <f>IF(V$4&lt;&gt;1,"",COUNTIF(V9:V13,"ห"))</f>
        <v/>
      </c>
      <c r="W14" s="522">
        <f>IF(W$4&lt;&gt;1,"",COUNTIF(W9:W13,"ห"))</f>
        <v/>
      </c>
      <c r="X14" s="522">
        <f>IF(X$4&lt;&gt;1,"",COUNTIF(X9:X13,"ห"))</f>
        <v/>
      </c>
      <c r="Y14" s="522">
        <f>IF(Y$4&lt;&gt;1,"",COUNTIF(Y9:Y13,"ห"))</f>
        <v/>
      </c>
      <c r="Z14" s="522">
        <f>IF(Z$4&lt;&gt;1,"",COUNTIF(Z9:Z13,"ห"))</f>
        <v/>
      </c>
      <c r="AA14" s="522">
        <f>IF(AA$4&lt;&gt;1,"",COUNTIF(AA9:AA13,"ห"))</f>
        <v/>
      </c>
      <c r="AB14" s="522">
        <f>IF(AB$4&lt;&gt;1,"",COUNTIF(AB9:AB13,"ห"))</f>
        <v/>
      </c>
      <c r="AC14" s="522">
        <f>IF(AC$4&lt;&gt;1,"",COUNTIF(AC9:AC13,"ห"))</f>
        <v/>
      </c>
      <c r="AD14" s="522">
        <f>IF(AD$4&lt;&gt;1,"",COUNTIF(AD9:AD13,"ห"))</f>
        <v/>
      </c>
      <c r="AE14" s="522">
        <f>IF(AE$4&lt;&gt;1,"",COUNTIF(AE9:AE13,"ห"))</f>
        <v/>
      </c>
      <c r="AF14" s="522">
        <f>IF(AF$4&lt;&gt;1,"",COUNTIF(AF9:AF13,"ห"))</f>
        <v/>
      </c>
      <c r="AG14" s="522">
        <f>IF(AG$4&lt;&gt;1,"",COUNTIF(AG9:AG13,"ห"))</f>
        <v/>
      </c>
      <c r="AH14" s="522">
        <f>IF(AH$4&lt;&gt;1,"",COUNTIF(AH9:AH13,"ห"))</f>
        <v/>
      </c>
      <c r="AI14" s="523">
        <f>SUM(AI9:AI13)</f>
        <v/>
      </c>
      <c r="AJ14" s="524">
        <f>SUM(AJ9:AJ13)</f>
        <v/>
      </c>
      <c r="AK14" s="525">
        <f>SUM(AK9:AK13)</f>
        <v/>
      </c>
      <c r="AL14" s="521">
        <f>IF(AL$4&lt;&gt;1,"",COUNTIF(AL9:AL13,"ห"))</f>
        <v/>
      </c>
      <c r="AM14" s="522">
        <f>IF(AM$4&lt;&gt;1,"",COUNTIF(AM9:AM13,"ห"))</f>
        <v/>
      </c>
      <c r="AN14" s="522">
        <f>IF(AN$4&lt;&gt;1,"",COUNTIF(AN9:AN13,"ห"))</f>
        <v/>
      </c>
      <c r="AO14" s="522">
        <f>IF(AO$4&lt;&gt;1,"",COUNTIF(AO9:AO13,"ห"))</f>
        <v/>
      </c>
      <c r="AP14" s="522">
        <f>IF(AP$4&lt;&gt;1,"",COUNTIF(AP9:AP13,"ห"))</f>
        <v/>
      </c>
      <c r="AQ14" s="522">
        <f>IF(AQ$4&lt;&gt;1,"",COUNTIF(AQ9:AQ13,"ห"))</f>
        <v/>
      </c>
      <c r="AR14" s="522">
        <f>IF(AR$4&lt;&gt;1,"",COUNTIF(AR9:AR13,"ห"))</f>
        <v/>
      </c>
      <c r="AS14" s="522">
        <f>IF(AS$4&lt;&gt;1,"",COUNTIF(AS9:AS13,"ห"))</f>
        <v/>
      </c>
      <c r="AT14" s="522">
        <f>IF(AT$4&lt;&gt;1,"",COUNTIF(AT9:AT13,"ห"))</f>
        <v/>
      </c>
      <c r="AU14" s="522">
        <f>IF(AU$4&lt;&gt;1,"",COUNTIF(AU9:AU13,"ห"))</f>
        <v/>
      </c>
      <c r="AV14" s="522">
        <f>IF(AV$4&lt;&gt;1,"",COUNTIF(AV9:AV13,"ห"))</f>
        <v/>
      </c>
      <c r="AW14" s="522">
        <f>IF(AW$4&lt;&gt;1,"",COUNTIF(AW9:AW13,"ห"))</f>
        <v/>
      </c>
      <c r="AX14" s="522">
        <f>IF(AX$4&lt;&gt;1,"",COUNTIF(AX9:AX13,"ห"))</f>
        <v/>
      </c>
      <c r="AY14" s="522">
        <f>IF(AY$4&lt;&gt;1,"",COUNTIF(AY9:AY13,"ห"))</f>
        <v/>
      </c>
      <c r="AZ14" s="522">
        <f>IF(AZ$4&lt;&gt;1,"",COUNTIF(AZ9:AZ13,"ห"))</f>
        <v/>
      </c>
      <c r="BA14" s="522">
        <f>IF(BA$4&lt;&gt;1,"",COUNTIF(BA9:BA13,"ห"))</f>
        <v/>
      </c>
      <c r="BB14" s="522">
        <f>IF(BB$4&lt;&gt;1,"",COUNTIF(BB9:BB13,"ห"))</f>
        <v/>
      </c>
      <c r="BC14" s="522">
        <f>IF(BC$4&lt;&gt;1,"",COUNTIF(BC9:BC13,"ห"))</f>
        <v/>
      </c>
      <c r="BD14" s="522">
        <f>IF(BD$4&lt;&gt;1,"",COUNTIF(BD9:BD13,"ห"))</f>
        <v/>
      </c>
      <c r="BE14" s="522">
        <f>IF(BE$4&lt;&gt;1,"",COUNTIF(BE9:BE13,"ห"))</f>
        <v/>
      </c>
      <c r="BF14" s="522">
        <f>IF(BF$4&lt;&gt;1,"",COUNTIF(BF9:BF13,"ห"))</f>
        <v/>
      </c>
      <c r="BG14" s="522">
        <f>IF(BG$4&lt;&gt;1,"",COUNTIF(BG9:BG13,"ห"))</f>
        <v/>
      </c>
      <c r="BH14" s="522">
        <f>IF(BH$4&lt;&gt;1,"",COUNTIF(BH9:BH13,"ห"))</f>
        <v/>
      </c>
      <c r="BI14" s="522">
        <f>IF(BI$4&lt;&gt;1,"",COUNTIF(BI9:BI13,"ห"))</f>
        <v/>
      </c>
      <c r="BJ14" s="522">
        <f>IF(BJ$4&lt;&gt;1,"",COUNTIF(BJ9:BJ13,"ห"))</f>
        <v/>
      </c>
      <c r="BK14" s="522">
        <f>IF(BK$4&lt;&gt;1,"",COUNTIF(BK9:BK13,"ห"))</f>
        <v/>
      </c>
      <c r="BL14" s="522">
        <f>IF(BL$4&lt;&gt;1,"",COUNTIF(BL9:BL13,"ห"))</f>
        <v/>
      </c>
      <c r="BM14" s="522">
        <f>IF(BM$4&lt;&gt;1,"",COUNTIF(BM9:BM13,"ห"))</f>
        <v/>
      </c>
      <c r="BN14" s="522">
        <f>IF(BN$4&lt;&gt;1,"",COUNTIF(BN9:BN13,"ห"))</f>
        <v/>
      </c>
      <c r="BO14" s="522">
        <f>IF(BO$4&lt;&gt;1,"",COUNTIF(BO9:BO13,"ห"))</f>
        <v/>
      </c>
      <c r="BP14" s="522">
        <f>IF(BP$4&lt;&gt;1,"",COUNTIF(BP9:BP13,"ห"))</f>
        <v/>
      </c>
      <c r="BQ14" s="523">
        <f>SUM(BQ9:BQ13)</f>
        <v/>
      </c>
      <c r="BR14" s="524">
        <f>SUM(BR9:BR13)</f>
        <v/>
      </c>
      <c r="BS14" s="525">
        <f>SUM(BS9:BS13)</f>
        <v/>
      </c>
      <c r="BT14" s="521">
        <f>IF(BT$4&lt;&gt;1,"",COUNTIF(BT9:BT13,"ห"))</f>
        <v/>
      </c>
      <c r="BU14" s="522">
        <f>IF(BU$4&lt;&gt;1,"",COUNTIF(BU9:BU13,"ห"))</f>
        <v/>
      </c>
      <c r="BV14" s="522">
        <f>IF(BV$4&lt;&gt;1,"",COUNTIF(BV9:BV13,"ห"))</f>
        <v/>
      </c>
      <c r="BW14" s="522">
        <f>IF(BW$4&lt;&gt;1,"",COUNTIF(BW9:BW13,"ห"))</f>
        <v/>
      </c>
      <c r="BX14" s="522">
        <f>IF(BX$4&lt;&gt;1,"",COUNTIF(BX9:BX13,"ห"))</f>
        <v/>
      </c>
      <c r="BY14" s="522">
        <f>IF(BY$4&lt;&gt;1,"",COUNTIF(BY9:BY13,"ห"))</f>
        <v/>
      </c>
      <c r="BZ14" s="522">
        <f>IF(BZ$4&lt;&gt;1,"",COUNTIF(BZ9:BZ13,"ห"))</f>
        <v/>
      </c>
      <c r="CA14" s="522">
        <f>IF(CA$4&lt;&gt;1,"",COUNTIF(CA9:CA13,"ห"))</f>
        <v/>
      </c>
      <c r="CB14" s="522">
        <f>IF(CB$4&lt;&gt;1,"",COUNTIF(CB9:CB13,"ห"))</f>
        <v/>
      </c>
      <c r="CC14" s="522">
        <f>IF(CC$4&lt;&gt;1,"",COUNTIF(CC9:CC13,"ห"))</f>
        <v/>
      </c>
      <c r="CD14" s="522">
        <f>IF(CD$4&lt;&gt;1,"",COUNTIF(CD9:CD13,"ห"))</f>
        <v/>
      </c>
      <c r="CE14" s="522">
        <f>IF(CE$4&lt;&gt;1,"",COUNTIF(CE9:CE13,"ห"))</f>
        <v/>
      </c>
      <c r="CF14" s="522">
        <f>IF(CF$4&lt;&gt;1,"",COUNTIF(CF9:CF13,"ห"))</f>
        <v/>
      </c>
      <c r="CG14" s="522">
        <f>IF(CG$4&lt;&gt;1,"",COUNTIF(CG9:CG13,"ห"))</f>
        <v/>
      </c>
      <c r="CH14" s="522">
        <f>IF(CH$4&lt;&gt;1,"",COUNTIF(CH9:CH13,"ห"))</f>
        <v/>
      </c>
      <c r="CI14" s="522">
        <f>IF(CI$4&lt;&gt;1,"",COUNTIF(CI9:CI13,"ห"))</f>
        <v/>
      </c>
      <c r="CJ14" s="522">
        <f>IF(CJ$4&lt;&gt;1,"",COUNTIF(CJ9:CJ13,"ห"))</f>
        <v/>
      </c>
      <c r="CK14" s="522">
        <f>IF(CK$4&lt;&gt;1,"",COUNTIF(CK9:CK13,"ห"))</f>
        <v/>
      </c>
      <c r="CL14" s="522">
        <f>IF(CL$4&lt;&gt;1,"",COUNTIF(CL9:CL13,"ห"))</f>
        <v/>
      </c>
      <c r="CM14" s="522">
        <f>IF(CM$4&lt;&gt;1,"",COUNTIF(CM9:CM13,"ห"))</f>
        <v/>
      </c>
      <c r="CN14" s="522">
        <f>IF(CN$4&lt;&gt;1,"",COUNTIF(CN9:CN13,"ห"))</f>
        <v/>
      </c>
      <c r="CO14" s="522">
        <f>IF(CO$4&lt;&gt;1,"",COUNTIF(CO9:CO13,"ห"))</f>
        <v/>
      </c>
      <c r="CP14" s="522">
        <f>IF(CP$4&lt;&gt;1,"",COUNTIF(CP9:CP13,"ห"))</f>
        <v/>
      </c>
      <c r="CQ14" s="522">
        <f>IF(CQ$4&lt;&gt;1,"",COUNTIF(CQ9:CQ13,"ห"))</f>
        <v/>
      </c>
      <c r="CR14" s="522">
        <f>IF(CR$4&lt;&gt;1,"",COUNTIF(CR9:CR13,"ห"))</f>
        <v/>
      </c>
      <c r="CS14" s="522">
        <f>IF(CS$4&lt;&gt;1,"",COUNTIF(CS9:CS13,"ห"))</f>
        <v/>
      </c>
      <c r="CT14" s="522">
        <f>IF(CT$4&lt;&gt;1,"",COUNTIF(CT9:CT13,"ห"))</f>
        <v/>
      </c>
      <c r="CU14" s="522">
        <f>IF(CU$4&lt;&gt;1,"",COUNTIF(CU9:CU13,"ห"))</f>
        <v/>
      </c>
      <c r="CV14" s="522">
        <f>IF(CV$4&lt;&gt;1,"",COUNTIF(CV9:CV13,"ห"))</f>
        <v/>
      </c>
      <c r="CW14" s="522">
        <f>IF(CW$4&lt;&gt;1,"",COUNTIF(CW9:CW13,"ห"))</f>
        <v/>
      </c>
      <c r="CX14" s="522">
        <f>IF(CX$4&lt;&gt;1,"",COUNTIF(CX9:CX13,"ห"))</f>
        <v/>
      </c>
      <c r="CY14" s="523">
        <f>SUM(CY9:CY13)</f>
        <v/>
      </c>
      <c r="CZ14" s="524">
        <f>SUM(CZ9:CZ13)</f>
        <v/>
      </c>
      <c r="DA14" s="525">
        <f>SUM(DA9:DA13)</f>
        <v/>
      </c>
      <c r="DB14" s="521">
        <f>IF(DB$4&lt;&gt;1,"",COUNTIF(DB9:DB13,"ห"))</f>
        <v/>
      </c>
      <c r="DC14" s="522">
        <f>IF(DC$4&lt;&gt;1,"",COUNTIF(DC9:DC13,"ห"))</f>
        <v/>
      </c>
      <c r="DD14" s="522">
        <f>IF(DD$4&lt;&gt;1,"",COUNTIF(DD9:DD13,"ห"))</f>
        <v/>
      </c>
      <c r="DE14" s="522">
        <f>IF(DE$4&lt;&gt;1,"",COUNTIF(DE9:DE13,"ห"))</f>
        <v/>
      </c>
      <c r="DF14" s="522">
        <f>IF(DF$4&lt;&gt;1,"",COUNTIF(DF9:DF13,"ห"))</f>
        <v/>
      </c>
      <c r="DG14" s="522">
        <f>IF(DG$4&lt;&gt;1,"",COUNTIF(DG9:DG13,"ห"))</f>
        <v/>
      </c>
      <c r="DH14" s="522">
        <f>IF(DH$4&lt;&gt;1,"",COUNTIF(DH9:DH13,"ห"))</f>
        <v/>
      </c>
      <c r="DI14" s="522">
        <f>IF(DI$4&lt;&gt;1,"",COUNTIF(DI9:DI13,"ห"))</f>
        <v/>
      </c>
      <c r="DJ14" s="522">
        <f>IF(DJ$4&lt;&gt;1,"",COUNTIF(DJ9:DJ13,"ห"))</f>
        <v/>
      </c>
      <c r="DK14" s="522">
        <f>IF(DK$4&lt;&gt;1,"",COUNTIF(DK9:DK13,"ห"))</f>
        <v/>
      </c>
      <c r="DL14" s="522">
        <f>IF(DL$4&lt;&gt;1,"",COUNTIF(DL9:DL13,"ห"))</f>
        <v/>
      </c>
      <c r="DM14" s="522">
        <f>IF(DM$4&lt;&gt;1,"",COUNTIF(DM9:DM13,"ห"))</f>
        <v/>
      </c>
      <c r="DN14" s="522">
        <f>IF(DN$4&lt;&gt;1,"",COUNTIF(DN9:DN13,"ห"))</f>
        <v/>
      </c>
      <c r="DO14" s="522">
        <f>IF(DO$4&lt;&gt;1,"",COUNTIF(DO9:DO13,"ห"))</f>
        <v/>
      </c>
      <c r="DP14" s="522">
        <f>IF(DP$4&lt;&gt;1,"",COUNTIF(DP9:DP13,"ห"))</f>
        <v/>
      </c>
      <c r="DQ14" s="522">
        <f>IF(DQ$4&lt;&gt;1,"",COUNTIF(DQ9:DQ13,"ห"))</f>
        <v/>
      </c>
      <c r="DR14" s="522">
        <f>IF(DR$4&lt;&gt;1,"",COUNTIF(DR9:DR13,"ห"))</f>
        <v/>
      </c>
      <c r="DS14" s="522">
        <f>IF(DS$4&lt;&gt;1,"",COUNTIF(DS9:DS13,"ห"))</f>
        <v/>
      </c>
      <c r="DT14" s="522">
        <f>IF(DT$4&lt;&gt;1,"",COUNTIF(DT9:DT13,"ห"))</f>
        <v/>
      </c>
      <c r="DU14" s="522">
        <f>IF(DU$4&lt;&gt;1,"",COUNTIF(DU9:DU13,"ห"))</f>
        <v/>
      </c>
      <c r="DV14" s="522">
        <f>IF(DV$4&lt;&gt;1,"",COUNTIF(DV9:DV13,"ห"))</f>
        <v/>
      </c>
      <c r="DW14" s="522">
        <f>IF(DW$4&lt;&gt;1,"",COUNTIF(DW9:DW13,"ห"))</f>
        <v/>
      </c>
      <c r="DX14" s="522">
        <f>IF(DX$4&lt;&gt;1,"",COUNTIF(DX9:DX13,"ห"))</f>
        <v/>
      </c>
      <c r="DY14" s="522">
        <f>IF(DY$4&lt;&gt;1,"",COUNTIF(DY9:DY13,"ห"))</f>
        <v/>
      </c>
      <c r="DZ14" s="522">
        <f>IF(DZ$4&lt;&gt;1,"",COUNTIF(DZ9:DZ13,"ห"))</f>
        <v/>
      </c>
      <c r="EA14" s="522">
        <f>IF(EA$4&lt;&gt;1,"",COUNTIF(EA9:EA13,"ห"))</f>
        <v/>
      </c>
      <c r="EB14" s="522">
        <f>IF(EB$4&lt;&gt;1,"",COUNTIF(EB9:EB13,"ห"))</f>
        <v/>
      </c>
      <c r="EC14" s="522">
        <f>IF(EC$4&lt;&gt;1,"",COUNTIF(EC9:EC13,"ห"))</f>
        <v/>
      </c>
      <c r="ED14" s="522">
        <f>IF(ED$4&lt;&gt;1,"",COUNTIF(ED9:ED13,"ห"))</f>
        <v/>
      </c>
      <c r="EE14" s="522">
        <f>IF(EE$4&lt;&gt;1,"",COUNTIF(EE9:EE13,"ห"))</f>
        <v/>
      </c>
      <c r="EF14" s="522">
        <f>IF(EF$4&lt;&gt;1,"",COUNTIF(EF9:EF13,"ห"))</f>
        <v/>
      </c>
      <c r="EG14" s="523">
        <f>SUM(EG9:EG13)</f>
        <v/>
      </c>
      <c r="EH14" s="524">
        <f>SUM(EH9:EH13)</f>
        <v/>
      </c>
      <c r="EI14" s="525">
        <f>SUM(EI9:EI13)</f>
        <v/>
      </c>
      <c r="EJ14" s="521">
        <f>IF(EJ$4&lt;&gt;1,"",COUNTIF(EJ9:EJ13,"ห"))</f>
        <v/>
      </c>
      <c r="EK14" s="522">
        <f>IF(EK$4&lt;&gt;1,"",COUNTIF(EK9:EK13,"ห"))</f>
        <v/>
      </c>
      <c r="EL14" s="522">
        <f>IF(EL$4&lt;&gt;1,"",COUNTIF(EL9:EL13,"ห"))</f>
        <v/>
      </c>
      <c r="EM14" s="522">
        <f>IF(EM$4&lt;&gt;1,"",COUNTIF(EM9:EM13,"ห"))</f>
        <v/>
      </c>
      <c r="EN14" s="522">
        <f>IF(EN$4&lt;&gt;1,"",COUNTIF(EN9:EN13,"ห"))</f>
        <v/>
      </c>
      <c r="EO14" s="522">
        <f>IF(EO$4&lt;&gt;1,"",COUNTIF(EO9:EO13,"ห"))</f>
        <v/>
      </c>
      <c r="EP14" s="522">
        <f>IF(EP$4&lt;&gt;1,"",COUNTIF(EP9:EP13,"ห"))</f>
        <v/>
      </c>
      <c r="EQ14" s="522">
        <f>IF(EQ$4&lt;&gt;1,"",COUNTIF(EQ9:EQ13,"ห"))</f>
        <v/>
      </c>
      <c r="ER14" s="522">
        <f>IF(ER$4&lt;&gt;1,"",COUNTIF(ER9:ER13,"ห"))</f>
        <v/>
      </c>
      <c r="ES14" s="522">
        <f>IF(ES$4&lt;&gt;1,"",COUNTIF(ES9:ES13,"ห"))</f>
        <v/>
      </c>
      <c r="ET14" s="522">
        <f>IF(ET$4&lt;&gt;1,"",COUNTIF(ET9:ET13,"ห"))</f>
        <v/>
      </c>
      <c r="EU14" s="522">
        <f>IF(EU$4&lt;&gt;1,"",COUNTIF(EU9:EU13,"ห"))</f>
        <v/>
      </c>
      <c r="EV14" s="522">
        <f>IF(EV$4&lt;&gt;1,"",COUNTIF(EV9:EV13,"ห"))</f>
        <v/>
      </c>
      <c r="EW14" s="522">
        <f>IF(EW$4&lt;&gt;1,"",COUNTIF(EW9:EW13,"ห"))</f>
        <v/>
      </c>
      <c r="EX14" s="522">
        <f>IF(EX$4&lt;&gt;1,"",COUNTIF(EX9:EX13,"ห"))</f>
        <v/>
      </c>
      <c r="EY14" s="522">
        <f>IF(EY$4&lt;&gt;1,"",COUNTIF(EY9:EY13,"ห"))</f>
        <v/>
      </c>
      <c r="EZ14" s="522">
        <f>IF(EZ$4&lt;&gt;1,"",COUNTIF(EZ9:EZ13,"ห"))</f>
        <v/>
      </c>
      <c r="FA14" s="522">
        <f>IF(FA$4&lt;&gt;1,"",COUNTIF(FA9:FA13,"ห"))</f>
        <v/>
      </c>
      <c r="FB14" s="522">
        <f>IF(FB$4&lt;&gt;1,"",COUNTIF(FB9:FB13,"ห"))</f>
        <v/>
      </c>
      <c r="FC14" s="522">
        <f>IF(FC$4&lt;&gt;1,"",COUNTIF(FC9:FC13,"ห"))</f>
        <v/>
      </c>
      <c r="FD14" s="522">
        <f>IF(FD$4&lt;&gt;1,"",COUNTIF(FD9:FD13,"ห"))</f>
        <v/>
      </c>
      <c r="FE14" s="522">
        <f>IF(FE$4&lt;&gt;1,"",COUNTIF(FE9:FE13,"ห"))</f>
        <v/>
      </c>
      <c r="FF14" s="522">
        <f>IF(FF$4&lt;&gt;1,"",COUNTIF(FF9:FF13,"ห"))</f>
        <v/>
      </c>
      <c r="FG14" s="522">
        <f>IF(FG$4&lt;&gt;1,"",COUNTIF(FG9:FG13,"ห"))</f>
        <v/>
      </c>
      <c r="FH14" s="522">
        <f>IF(FH$4&lt;&gt;1,"",COUNTIF(FH9:FH13,"ห"))</f>
        <v/>
      </c>
      <c r="FI14" s="522">
        <f>IF(FI$4&lt;&gt;1,"",COUNTIF(FI9:FI13,"ห"))</f>
        <v/>
      </c>
      <c r="FJ14" s="522">
        <f>IF(FJ$4&lt;&gt;1,"",COUNTIF(FJ9:FJ13,"ห"))</f>
        <v/>
      </c>
      <c r="FK14" s="522">
        <f>IF(FK$4&lt;&gt;1,"",COUNTIF(FK9:FK13,"ห"))</f>
        <v/>
      </c>
      <c r="FL14" s="522">
        <f>IF(FL$4&lt;&gt;1,"",COUNTIF(FL9:FL13,"ห"))</f>
        <v/>
      </c>
      <c r="FM14" s="522">
        <f>IF(FM$4&lt;&gt;1,"",COUNTIF(FM9:FM13,"ห"))</f>
        <v/>
      </c>
      <c r="FN14" s="522">
        <f>IF(FN$4&lt;&gt;1,"",COUNTIF(FN9:FN13,"ห"))</f>
        <v/>
      </c>
      <c r="FO14" s="523">
        <f>SUM(FO9:FO13)</f>
        <v/>
      </c>
      <c r="FP14" s="524">
        <f>SUM(FP9:FP13)</f>
        <v/>
      </c>
      <c r="FQ14" s="525">
        <f>SUM(FQ9:FQ13)</f>
        <v/>
      </c>
    </row>
    <row r="15">
      <c r="A15" s="520" t="inlineStr">
        <is>
          <t>ทานเหลือ (คน)</t>
        </is>
      </c>
      <c r="B15" s="184" t="n"/>
      <c r="C15" s="184" t="n"/>
      <c r="D15" s="521">
        <f>IF(D$4&lt;&gt;1,"",COUNTIF(D9:D13,"ล"))</f>
        <v/>
      </c>
      <c r="E15" s="522">
        <f>IF(E$4&lt;&gt;1,"",COUNTIF(E9:E13,"ล"))</f>
        <v/>
      </c>
      <c r="F15" s="522">
        <f>IF(F$4&lt;&gt;1,"",COUNTIF(F9:F13,"ล"))</f>
        <v/>
      </c>
      <c r="G15" s="522">
        <f>IF(G$4&lt;&gt;1,"",COUNTIF(G9:G13,"ล"))</f>
        <v/>
      </c>
      <c r="H15" s="522">
        <f>IF(H$4&lt;&gt;1,"",COUNTIF(H9:H13,"ล"))</f>
        <v/>
      </c>
      <c r="I15" s="522">
        <f>IF(I$4&lt;&gt;1,"",COUNTIF(I9:I13,"ล"))</f>
        <v/>
      </c>
      <c r="J15" s="522">
        <f>IF(J$4&lt;&gt;1,"",COUNTIF(J9:J13,"ล"))</f>
        <v/>
      </c>
      <c r="K15" s="522">
        <f>IF(K$4&lt;&gt;1,"",COUNTIF(K9:K13,"ล"))</f>
        <v/>
      </c>
      <c r="L15" s="522">
        <f>IF(L$4&lt;&gt;1,"",COUNTIF(L9:L13,"ล"))</f>
        <v/>
      </c>
      <c r="M15" s="522">
        <f>IF(M$4&lt;&gt;1,"",COUNTIF(M9:M13,"ล"))</f>
        <v/>
      </c>
      <c r="N15" s="522">
        <f>IF(N$4&lt;&gt;1,"",COUNTIF(N9:N13,"ล"))</f>
        <v/>
      </c>
      <c r="O15" s="522">
        <f>IF(O$4&lt;&gt;1,"",COUNTIF(O9:O13,"ล"))</f>
        <v/>
      </c>
      <c r="P15" s="522">
        <f>IF(P$4&lt;&gt;1,"",COUNTIF(P9:P13,"ล"))</f>
        <v/>
      </c>
      <c r="Q15" s="522">
        <f>IF(Q$4&lt;&gt;1,"",COUNTIF(Q9:Q13,"ล"))</f>
        <v/>
      </c>
      <c r="R15" s="522">
        <f>IF(R$4&lt;&gt;1,"",COUNTIF(R9:R13,"ล"))</f>
        <v/>
      </c>
      <c r="S15" s="522">
        <f>IF(S$4&lt;&gt;1,"",COUNTIF(S9:S13,"ล"))</f>
        <v/>
      </c>
      <c r="T15" s="522">
        <f>IF(T$4&lt;&gt;1,"",COUNTIF(T9:T13,"ล"))</f>
        <v/>
      </c>
      <c r="U15" s="522">
        <f>IF(U$4&lt;&gt;1,"",COUNTIF(U9:U13,"ล"))</f>
        <v/>
      </c>
      <c r="V15" s="522">
        <f>IF(V$4&lt;&gt;1,"",COUNTIF(V9:V13,"ล"))</f>
        <v/>
      </c>
      <c r="W15" s="522">
        <f>IF(W$4&lt;&gt;1,"",COUNTIF(W9:W13,"ล"))</f>
        <v/>
      </c>
      <c r="X15" s="522">
        <f>IF(X$4&lt;&gt;1,"",COUNTIF(X9:X13,"ล"))</f>
        <v/>
      </c>
      <c r="Y15" s="522">
        <f>IF(Y$4&lt;&gt;1,"",COUNTIF(Y9:Y13,"ล"))</f>
        <v/>
      </c>
      <c r="Z15" s="522">
        <f>IF(Z$4&lt;&gt;1,"",COUNTIF(Z9:Z13,"ล"))</f>
        <v/>
      </c>
      <c r="AA15" s="522">
        <f>IF(AA$4&lt;&gt;1,"",COUNTIF(AA9:AA13,"ล"))</f>
        <v/>
      </c>
      <c r="AB15" s="522">
        <f>IF(AB$4&lt;&gt;1,"",COUNTIF(AB9:AB13,"ล"))</f>
        <v/>
      </c>
      <c r="AC15" s="522">
        <f>IF(AC$4&lt;&gt;1,"",COUNTIF(AC9:AC13,"ล"))</f>
        <v/>
      </c>
      <c r="AD15" s="522">
        <f>IF(AD$4&lt;&gt;1,"",COUNTIF(AD9:AD13,"ล"))</f>
        <v/>
      </c>
      <c r="AE15" s="522">
        <f>IF(AE$4&lt;&gt;1,"",COUNTIF(AE9:AE13,"ล"))</f>
        <v/>
      </c>
      <c r="AF15" s="522">
        <f>IF(AF$4&lt;&gt;1,"",COUNTIF(AF9:AF13,"ล"))</f>
        <v/>
      </c>
      <c r="AG15" s="522">
        <f>IF(AG$4&lt;&gt;1,"",COUNTIF(AG9:AG13,"ล"))</f>
        <v/>
      </c>
      <c r="AH15" s="522">
        <f>IF(AH$4&lt;&gt;1,"",COUNTIF(AH9:AH13,"ล"))</f>
        <v/>
      </c>
      <c r="AI15" s="523" t="n"/>
      <c r="AJ15" s="524" t="n"/>
      <c r="AK15" s="525" t="n"/>
      <c r="AL15" s="521">
        <f>IF(AL$4&lt;&gt;1,"",COUNTIF(AL9:AL13,"ล"))</f>
        <v/>
      </c>
      <c r="AM15" s="522">
        <f>IF(AM$4&lt;&gt;1,"",COUNTIF(AM9:AM13,"ล"))</f>
        <v/>
      </c>
      <c r="AN15" s="522">
        <f>IF(AN$4&lt;&gt;1,"",COUNTIF(AN9:AN13,"ล"))</f>
        <v/>
      </c>
      <c r="AO15" s="522">
        <f>IF(AO$4&lt;&gt;1,"",COUNTIF(AO9:AO13,"ล"))</f>
        <v/>
      </c>
      <c r="AP15" s="522">
        <f>IF(AP$4&lt;&gt;1,"",COUNTIF(AP9:AP13,"ล"))</f>
        <v/>
      </c>
      <c r="AQ15" s="522">
        <f>IF(AQ$4&lt;&gt;1,"",COUNTIF(AQ9:AQ13,"ล"))</f>
        <v/>
      </c>
      <c r="AR15" s="522">
        <f>IF(AR$4&lt;&gt;1,"",COUNTIF(AR9:AR13,"ล"))</f>
        <v/>
      </c>
      <c r="AS15" s="522">
        <f>IF(AS$4&lt;&gt;1,"",COUNTIF(AS9:AS13,"ล"))</f>
        <v/>
      </c>
      <c r="AT15" s="522">
        <f>IF(AT$4&lt;&gt;1,"",COUNTIF(AT9:AT13,"ล"))</f>
        <v/>
      </c>
      <c r="AU15" s="522">
        <f>IF(AU$4&lt;&gt;1,"",COUNTIF(AU9:AU13,"ล"))</f>
        <v/>
      </c>
      <c r="AV15" s="522">
        <f>IF(AV$4&lt;&gt;1,"",COUNTIF(AV9:AV13,"ล"))</f>
        <v/>
      </c>
      <c r="AW15" s="522">
        <f>IF(AW$4&lt;&gt;1,"",COUNTIF(AW9:AW13,"ล"))</f>
        <v/>
      </c>
      <c r="AX15" s="522">
        <f>IF(AX$4&lt;&gt;1,"",COUNTIF(AX9:AX13,"ล"))</f>
        <v/>
      </c>
      <c r="AY15" s="522">
        <f>IF(AY$4&lt;&gt;1,"",COUNTIF(AY9:AY13,"ล"))</f>
        <v/>
      </c>
      <c r="AZ15" s="522">
        <f>IF(AZ$4&lt;&gt;1,"",COUNTIF(AZ9:AZ13,"ล"))</f>
        <v/>
      </c>
      <c r="BA15" s="522">
        <f>IF(BA$4&lt;&gt;1,"",COUNTIF(BA9:BA13,"ล"))</f>
        <v/>
      </c>
      <c r="BB15" s="522">
        <f>IF(BB$4&lt;&gt;1,"",COUNTIF(BB9:BB13,"ล"))</f>
        <v/>
      </c>
      <c r="BC15" s="522">
        <f>IF(BC$4&lt;&gt;1,"",COUNTIF(BC9:BC13,"ล"))</f>
        <v/>
      </c>
      <c r="BD15" s="522">
        <f>IF(BD$4&lt;&gt;1,"",COUNTIF(BD9:BD13,"ล"))</f>
        <v/>
      </c>
      <c r="BE15" s="522">
        <f>IF(BE$4&lt;&gt;1,"",COUNTIF(BE9:BE13,"ล"))</f>
        <v/>
      </c>
      <c r="BF15" s="522">
        <f>IF(BF$4&lt;&gt;1,"",COUNTIF(BF9:BF13,"ล"))</f>
        <v/>
      </c>
      <c r="BG15" s="522">
        <f>IF(BG$4&lt;&gt;1,"",COUNTIF(BG9:BG13,"ล"))</f>
        <v/>
      </c>
      <c r="BH15" s="522">
        <f>IF(BH$4&lt;&gt;1,"",COUNTIF(BH9:BH13,"ล"))</f>
        <v/>
      </c>
      <c r="BI15" s="522">
        <f>IF(BI$4&lt;&gt;1,"",COUNTIF(BI9:BI13,"ล"))</f>
        <v/>
      </c>
      <c r="BJ15" s="522">
        <f>IF(BJ$4&lt;&gt;1,"",COUNTIF(BJ9:BJ13,"ล"))</f>
        <v/>
      </c>
      <c r="BK15" s="522">
        <f>IF(BK$4&lt;&gt;1,"",COUNTIF(BK9:BK13,"ล"))</f>
        <v/>
      </c>
      <c r="BL15" s="522">
        <f>IF(BL$4&lt;&gt;1,"",COUNTIF(BL9:BL13,"ล"))</f>
        <v/>
      </c>
      <c r="BM15" s="522">
        <f>IF(BM$4&lt;&gt;1,"",COUNTIF(BM9:BM13,"ล"))</f>
        <v/>
      </c>
      <c r="BN15" s="522">
        <f>IF(BN$4&lt;&gt;1,"",COUNTIF(BN9:BN13,"ล"))</f>
        <v/>
      </c>
      <c r="BO15" s="522">
        <f>IF(BO$4&lt;&gt;1,"",COUNTIF(BO9:BO13,"ล"))</f>
        <v/>
      </c>
      <c r="BP15" s="522">
        <f>IF(BP$4&lt;&gt;1,"",COUNTIF(BP9:BP13,"ล"))</f>
        <v/>
      </c>
      <c r="BQ15" s="523" t="n"/>
      <c r="BR15" s="524" t="n"/>
      <c r="BS15" s="525" t="n"/>
      <c r="BT15" s="521">
        <f>IF(BT$4&lt;&gt;1,"",COUNTIF(BT9:BT13,"ล"))</f>
        <v/>
      </c>
      <c r="BU15" s="522">
        <f>IF(BU$4&lt;&gt;1,"",COUNTIF(BU9:BU13,"ล"))</f>
        <v/>
      </c>
      <c r="BV15" s="522">
        <f>IF(BV$4&lt;&gt;1,"",COUNTIF(BV9:BV13,"ล"))</f>
        <v/>
      </c>
      <c r="BW15" s="522">
        <f>IF(BW$4&lt;&gt;1,"",COUNTIF(BW9:BW13,"ล"))</f>
        <v/>
      </c>
      <c r="BX15" s="522">
        <f>IF(BX$4&lt;&gt;1,"",COUNTIF(BX9:BX13,"ล"))</f>
        <v/>
      </c>
      <c r="BY15" s="522">
        <f>IF(BY$4&lt;&gt;1,"",COUNTIF(BY9:BY13,"ล"))</f>
        <v/>
      </c>
      <c r="BZ15" s="522">
        <f>IF(BZ$4&lt;&gt;1,"",COUNTIF(BZ9:BZ13,"ล"))</f>
        <v/>
      </c>
      <c r="CA15" s="522">
        <f>IF(CA$4&lt;&gt;1,"",COUNTIF(CA9:CA13,"ล"))</f>
        <v/>
      </c>
      <c r="CB15" s="522">
        <f>IF(CB$4&lt;&gt;1,"",COUNTIF(CB9:CB13,"ล"))</f>
        <v/>
      </c>
      <c r="CC15" s="522">
        <f>IF(CC$4&lt;&gt;1,"",COUNTIF(CC9:CC13,"ล"))</f>
        <v/>
      </c>
      <c r="CD15" s="522">
        <f>IF(CD$4&lt;&gt;1,"",COUNTIF(CD9:CD13,"ล"))</f>
        <v/>
      </c>
      <c r="CE15" s="522">
        <f>IF(CE$4&lt;&gt;1,"",COUNTIF(CE9:CE13,"ล"))</f>
        <v/>
      </c>
      <c r="CF15" s="522">
        <f>IF(CF$4&lt;&gt;1,"",COUNTIF(CF9:CF13,"ล"))</f>
        <v/>
      </c>
      <c r="CG15" s="522">
        <f>IF(CG$4&lt;&gt;1,"",COUNTIF(CG9:CG13,"ล"))</f>
        <v/>
      </c>
      <c r="CH15" s="522">
        <f>IF(CH$4&lt;&gt;1,"",COUNTIF(CH9:CH13,"ล"))</f>
        <v/>
      </c>
      <c r="CI15" s="522">
        <f>IF(CI$4&lt;&gt;1,"",COUNTIF(CI9:CI13,"ล"))</f>
        <v/>
      </c>
      <c r="CJ15" s="522">
        <f>IF(CJ$4&lt;&gt;1,"",COUNTIF(CJ9:CJ13,"ล"))</f>
        <v/>
      </c>
      <c r="CK15" s="522">
        <f>IF(CK$4&lt;&gt;1,"",COUNTIF(CK9:CK13,"ล"))</f>
        <v/>
      </c>
      <c r="CL15" s="522">
        <f>IF(CL$4&lt;&gt;1,"",COUNTIF(CL9:CL13,"ล"))</f>
        <v/>
      </c>
      <c r="CM15" s="522">
        <f>IF(CM$4&lt;&gt;1,"",COUNTIF(CM9:CM13,"ล"))</f>
        <v/>
      </c>
      <c r="CN15" s="522">
        <f>IF(CN$4&lt;&gt;1,"",COUNTIF(CN9:CN13,"ล"))</f>
        <v/>
      </c>
      <c r="CO15" s="522">
        <f>IF(CO$4&lt;&gt;1,"",COUNTIF(CO9:CO13,"ล"))</f>
        <v/>
      </c>
      <c r="CP15" s="522">
        <f>IF(CP$4&lt;&gt;1,"",COUNTIF(CP9:CP13,"ล"))</f>
        <v/>
      </c>
      <c r="CQ15" s="522">
        <f>IF(CQ$4&lt;&gt;1,"",COUNTIF(CQ9:CQ13,"ล"))</f>
        <v/>
      </c>
      <c r="CR15" s="522">
        <f>IF(CR$4&lt;&gt;1,"",COUNTIF(CR9:CR13,"ล"))</f>
        <v/>
      </c>
      <c r="CS15" s="522">
        <f>IF(CS$4&lt;&gt;1,"",COUNTIF(CS9:CS13,"ล"))</f>
        <v/>
      </c>
      <c r="CT15" s="522">
        <f>IF(CT$4&lt;&gt;1,"",COUNTIF(CT9:CT13,"ล"))</f>
        <v/>
      </c>
      <c r="CU15" s="522">
        <f>IF(CU$4&lt;&gt;1,"",COUNTIF(CU9:CU13,"ล"))</f>
        <v/>
      </c>
      <c r="CV15" s="522">
        <f>IF(CV$4&lt;&gt;1,"",COUNTIF(CV9:CV13,"ล"))</f>
        <v/>
      </c>
      <c r="CW15" s="522">
        <f>IF(CW$4&lt;&gt;1,"",COUNTIF(CW9:CW13,"ล"))</f>
        <v/>
      </c>
      <c r="CX15" s="522">
        <f>IF(CX$4&lt;&gt;1,"",COUNTIF(CX9:CX13,"ล"))</f>
        <v/>
      </c>
      <c r="CY15" s="523" t="n"/>
      <c r="CZ15" s="524" t="n"/>
      <c r="DA15" s="525" t="n"/>
      <c r="DB15" s="521">
        <f>IF(DB$4&lt;&gt;1,"",COUNTIF(DB9:DB13,"ล"))</f>
        <v/>
      </c>
      <c r="DC15" s="522">
        <f>IF(DC$4&lt;&gt;1,"",COUNTIF(DC9:DC13,"ล"))</f>
        <v/>
      </c>
      <c r="DD15" s="522">
        <f>IF(DD$4&lt;&gt;1,"",COUNTIF(DD9:DD13,"ล"))</f>
        <v/>
      </c>
      <c r="DE15" s="522">
        <f>IF(DE$4&lt;&gt;1,"",COUNTIF(DE9:DE13,"ล"))</f>
        <v/>
      </c>
      <c r="DF15" s="522">
        <f>IF(DF$4&lt;&gt;1,"",COUNTIF(DF9:DF13,"ล"))</f>
        <v/>
      </c>
      <c r="DG15" s="522">
        <f>IF(DG$4&lt;&gt;1,"",COUNTIF(DG9:DG13,"ล"))</f>
        <v/>
      </c>
      <c r="DH15" s="522">
        <f>IF(DH$4&lt;&gt;1,"",COUNTIF(DH9:DH13,"ล"))</f>
        <v/>
      </c>
      <c r="DI15" s="522">
        <f>IF(DI$4&lt;&gt;1,"",COUNTIF(DI9:DI13,"ล"))</f>
        <v/>
      </c>
      <c r="DJ15" s="522">
        <f>IF(DJ$4&lt;&gt;1,"",COUNTIF(DJ9:DJ13,"ล"))</f>
        <v/>
      </c>
      <c r="DK15" s="522">
        <f>IF(DK$4&lt;&gt;1,"",COUNTIF(DK9:DK13,"ล"))</f>
        <v/>
      </c>
      <c r="DL15" s="522">
        <f>IF(DL$4&lt;&gt;1,"",COUNTIF(DL9:DL13,"ล"))</f>
        <v/>
      </c>
      <c r="DM15" s="522">
        <f>IF(DM$4&lt;&gt;1,"",COUNTIF(DM9:DM13,"ล"))</f>
        <v/>
      </c>
      <c r="DN15" s="522">
        <f>IF(DN$4&lt;&gt;1,"",COUNTIF(DN9:DN13,"ล"))</f>
        <v/>
      </c>
      <c r="DO15" s="522">
        <f>IF(DO$4&lt;&gt;1,"",COUNTIF(DO9:DO13,"ล"))</f>
        <v/>
      </c>
      <c r="DP15" s="522">
        <f>IF(DP$4&lt;&gt;1,"",COUNTIF(DP9:DP13,"ล"))</f>
        <v/>
      </c>
      <c r="DQ15" s="522">
        <f>IF(DQ$4&lt;&gt;1,"",COUNTIF(DQ9:DQ13,"ล"))</f>
        <v/>
      </c>
      <c r="DR15" s="522">
        <f>IF(DR$4&lt;&gt;1,"",COUNTIF(DR9:DR13,"ล"))</f>
        <v/>
      </c>
      <c r="DS15" s="522">
        <f>IF(DS$4&lt;&gt;1,"",COUNTIF(DS9:DS13,"ล"))</f>
        <v/>
      </c>
      <c r="DT15" s="522">
        <f>IF(DT$4&lt;&gt;1,"",COUNTIF(DT9:DT13,"ล"))</f>
        <v/>
      </c>
      <c r="DU15" s="522">
        <f>IF(DU$4&lt;&gt;1,"",COUNTIF(DU9:DU13,"ล"))</f>
        <v/>
      </c>
      <c r="DV15" s="522">
        <f>IF(DV$4&lt;&gt;1,"",COUNTIF(DV9:DV13,"ล"))</f>
        <v/>
      </c>
      <c r="DW15" s="522">
        <f>IF(DW$4&lt;&gt;1,"",COUNTIF(DW9:DW13,"ล"))</f>
        <v/>
      </c>
      <c r="DX15" s="522">
        <f>IF(DX$4&lt;&gt;1,"",COUNTIF(DX9:DX13,"ล"))</f>
        <v/>
      </c>
      <c r="DY15" s="522">
        <f>IF(DY$4&lt;&gt;1,"",COUNTIF(DY9:DY13,"ล"))</f>
        <v/>
      </c>
      <c r="DZ15" s="522">
        <f>IF(DZ$4&lt;&gt;1,"",COUNTIF(DZ9:DZ13,"ล"))</f>
        <v/>
      </c>
      <c r="EA15" s="522">
        <f>IF(EA$4&lt;&gt;1,"",COUNTIF(EA9:EA13,"ล"))</f>
        <v/>
      </c>
      <c r="EB15" s="522">
        <f>IF(EB$4&lt;&gt;1,"",COUNTIF(EB9:EB13,"ล"))</f>
        <v/>
      </c>
      <c r="EC15" s="522">
        <f>IF(EC$4&lt;&gt;1,"",COUNTIF(EC9:EC13,"ล"))</f>
        <v/>
      </c>
      <c r="ED15" s="522">
        <f>IF(ED$4&lt;&gt;1,"",COUNTIF(ED9:ED13,"ล"))</f>
        <v/>
      </c>
      <c r="EE15" s="522">
        <f>IF(EE$4&lt;&gt;1,"",COUNTIF(EE9:EE13,"ล"))</f>
        <v/>
      </c>
      <c r="EF15" s="522">
        <f>IF(EF$4&lt;&gt;1,"",COUNTIF(EF9:EF13,"ล"))</f>
        <v/>
      </c>
      <c r="EG15" s="523" t="n"/>
      <c r="EH15" s="524" t="n"/>
      <c r="EI15" s="525" t="n"/>
      <c r="EJ15" s="521">
        <f>IF(EJ$4&lt;&gt;1,"",COUNTIF(EJ9:EJ13,"ล"))</f>
        <v/>
      </c>
      <c r="EK15" s="522">
        <f>IF(EK$4&lt;&gt;1,"",COUNTIF(EK9:EK13,"ล"))</f>
        <v/>
      </c>
      <c r="EL15" s="522">
        <f>IF(EL$4&lt;&gt;1,"",COUNTIF(EL9:EL13,"ล"))</f>
        <v/>
      </c>
      <c r="EM15" s="522">
        <f>IF(EM$4&lt;&gt;1,"",COUNTIF(EM9:EM13,"ล"))</f>
        <v/>
      </c>
      <c r="EN15" s="522">
        <f>IF(EN$4&lt;&gt;1,"",COUNTIF(EN9:EN13,"ล"))</f>
        <v/>
      </c>
      <c r="EO15" s="522">
        <f>IF(EO$4&lt;&gt;1,"",COUNTIF(EO9:EO13,"ล"))</f>
        <v/>
      </c>
      <c r="EP15" s="522">
        <f>IF(EP$4&lt;&gt;1,"",COUNTIF(EP9:EP13,"ล"))</f>
        <v/>
      </c>
      <c r="EQ15" s="522">
        <f>IF(EQ$4&lt;&gt;1,"",COUNTIF(EQ9:EQ13,"ล"))</f>
        <v/>
      </c>
      <c r="ER15" s="522">
        <f>IF(ER$4&lt;&gt;1,"",COUNTIF(ER9:ER13,"ล"))</f>
        <v/>
      </c>
      <c r="ES15" s="522">
        <f>IF(ES$4&lt;&gt;1,"",COUNTIF(ES9:ES13,"ล"))</f>
        <v/>
      </c>
      <c r="ET15" s="522">
        <f>IF(ET$4&lt;&gt;1,"",COUNTIF(ET9:ET13,"ล"))</f>
        <v/>
      </c>
      <c r="EU15" s="522">
        <f>IF(EU$4&lt;&gt;1,"",COUNTIF(EU9:EU13,"ล"))</f>
        <v/>
      </c>
      <c r="EV15" s="522">
        <f>IF(EV$4&lt;&gt;1,"",COUNTIF(EV9:EV13,"ล"))</f>
        <v/>
      </c>
      <c r="EW15" s="522">
        <f>IF(EW$4&lt;&gt;1,"",COUNTIF(EW9:EW13,"ล"))</f>
        <v/>
      </c>
      <c r="EX15" s="522">
        <f>IF(EX$4&lt;&gt;1,"",COUNTIF(EX9:EX13,"ล"))</f>
        <v/>
      </c>
      <c r="EY15" s="522">
        <f>IF(EY$4&lt;&gt;1,"",COUNTIF(EY9:EY13,"ล"))</f>
        <v/>
      </c>
      <c r="EZ15" s="522">
        <f>IF(EZ$4&lt;&gt;1,"",COUNTIF(EZ9:EZ13,"ล"))</f>
        <v/>
      </c>
      <c r="FA15" s="522">
        <f>IF(FA$4&lt;&gt;1,"",COUNTIF(FA9:FA13,"ล"))</f>
        <v/>
      </c>
      <c r="FB15" s="522">
        <f>IF(FB$4&lt;&gt;1,"",COUNTIF(FB9:FB13,"ล"))</f>
        <v/>
      </c>
      <c r="FC15" s="522">
        <f>IF(FC$4&lt;&gt;1,"",COUNTIF(FC9:FC13,"ล"))</f>
        <v/>
      </c>
      <c r="FD15" s="522">
        <f>IF(FD$4&lt;&gt;1,"",COUNTIF(FD9:FD13,"ล"))</f>
        <v/>
      </c>
      <c r="FE15" s="522">
        <f>IF(FE$4&lt;&gt;1,"",COUNTIF(FE9:FE13,"ล"))</f>
        <v/>
      </c>
      <c r="FF15" s="522">
        <f>IF(FF$4&lt;&gt;1,"",COUNTIF(FF9:FF13,"ล"))</f>
        <v/>
      </c>
      <c r="FG15" s="522">
        <f>IF(FG$4&lt;&gt;1,"",COUNTIF(FG9:FG13,"ล"))</f>
        <v/>
      </c>
      <c r="FH15" s="522">
        <f>IF(FH$4&lt;&gt;1,"",COUNTIF(FH9:FH13,"ล"))</f>
        <v/>
      </c>
      <c r="FI15" s="522">
        <f>IF(FI$4&lt;&gt;1,"",COUNTIF(FI9:FI13,"ล"))</f>
        <v/>
      </c>
      <c r="FJ15" s="522">
        <f>IF(FJ$4&lt;&gt;1,"",COUNTIF(FJ9:FJ13,"ล"))</f>
        <v/>
      </c>
      <c r="FK15" s="522">
        <f>IF(FK$4&lt;&gt;1,"",COUNTIF(FK9:FK13,"ล"))</f>
        <v/>
      </c>
      <c r="FL15" s="522">
        <f>IF(FL$4&lt;&gt;1,"",COUNTIF(FL9:FL13,"ล"))</f>
        <v/>
      </c>
      <c r="FM15" s="522">
        <f>IF(FM$4&lt;&gt;1,"",COUNTIF(FM9:FM13,"ล"))</f>
        <v/>
      </c>
      <c r="FN15" s="522">
        <f>IF(FN$4&lt;&gt;1,"",COUNTIF(FN9:FN13,"ล"))</f>
        <v/>
      </c>
      <c r="FO15" s="523" t="n"/>
      <c r="FP15" s="524" t="n"/>
      <c r="FQ15" s="525" t="n"/>
    </row>
    <row r="16">
      <c r="A16" s="520" t="inlineStr">
        <is>
          <t>งด / ไม่ทาน (คน)</t>
        </is>
      </c>
      <c r="B16" s="184" t="n"/>
      <c r="C16" s="184" t="n"/>
      <c r="D16" s="521">
        <f>IF(D$4&lt;&gt;1,"",COUNTIF(D9:D13,"ง"))</f>
        <v/>
      </c>
      <c r="E16" s="522">
        <f>IF(E$4&lt;&gt;1,"",COUNTIF(E9:E13,"ง"))</f>
        <v/>
      </c>
      <c r="F16" s="522">
        <f>IF(F$4&lt;&gt;1,"",COUNTIF(F9:F13,"ง"))</f>
        <v/>
      </c>
      <c r="G16" s="522">
        <f>IF(G$4&lt;&gt;1,"",COUNTIF(G9:G13,"ง"))</f>
        <v/>
      </c>
      <c r="H16" s="522">
        <f>IF(H$4&lt;&gt;1,"",COUNTIF(H9:H13,"ง"))</f>
        <v/>
      </c>
      <c r="I16" s="522">
        <f>IF(I$4&lt;&gt;1,"",COUNTIF(I9:I13,"ง"))</f>
        <v/>
      </c>
      <c r="J16" s="522">
        <f>IF(J$4&lt;&gt;1,"",COUNTIF(J9:J13,"ง"))</f>
        <v/>
      </c>
      <c r="K16" s="522">
        <f>IF(K$4&lt;&gt;1,"",COUNTIF(K9:K13,"ง"))</f>
        <v/>
      </c>
      <c r="L16" s="522">
        <f>IF(L$4&lt;&gt;1,"",COUNTIF(L9:L13,"ง"))</f>
        <v/>
      </c>
      <c r="M16" s="522">
        <f>IF(M$4&lt;&gt;1,"",COUNTIF(M9:M13,"ง"))</f>
        <v/>
      </c>
      <c r="N16" s="522">
        <f>IF(N$4&lt;&gt;1,"",COUNTIF(N9:N13,"ง"))</f>
        <v/>
      </c>
      <c r="O16" s="522">
        <f>IF(O$4&lt;&gt;1,"",COUNTIF(O9:O13,"ง"))</f>
        <v/>
      </c>
      <c r="P16" s="522">
        <f>IF(P$4&lt;&gt;1,"",COUNTIF(P9:P13,"ง"))</f>
        <v/>
      </c>
      <c r="Q16" s="522">
        <f>IF(Q$4&lt;&gt;1,"",COUNTIF(Q9:Q13,"ง"))</f>
        <v/>
      </c>
      <c r="R16" s="522">
        <f>IF(R$4&lt;&gt;1,"",COUNTIF(R9:R13,"ง"))</f>
        <v/>
      </c>
      <c r="S16" s="522">
        <f>IF(S$4&lt;&gt;1,"",COUNTIF(S9:S13,"ง"))</f>
        <v/>
      </c>
      <c r="T16" s="522">
        <f>IF(T$4&lt;&gt;1,"",COUNTIF(T9:T13,"ง"))</f>
        <v/>
      </c>
      <c r="U16" s="522">
        <f>IF(U$4&lt;&gt;1,"",COUNTIF(U9:U13,"ง"))</f>
        <v/>
      </c>
      <c r="V16" s="522">
        <f>IF(V$4&lt;&gt;1,"",COUNTIF(V9:V13,"ง"))</f>
        <v/>
      </c>
      <c r="W16" s="522">
        <f>IF(W$4&lt;&gt;1,"",COUNTIF(W9:W13,"ง"))</f>
        <v/>
      </c>
      <c r="X16" s="522">
        <f>IF(X$4&lt;&gt;1,"",COUNTIF(X9:X13,"ง"))</f>
        <v/>
      </c>
      <c r="Y16" s="522">
        <f>IF(Y$4&lt;&gt;1,"",COUNTIF(Y9:Y13,"ง"))</f>
        <v/>
      </c>
      <c r="Z16" s="522">
        <f>IF(Z$4&lt;&gt;1,"",COUNTIF(Z9:Z13,"ง"))</f>
        <v/>
      </c>
      <c r="AA16" s="522">
        <f>IF(AA$4&lt;&gt;1,"",COUNTIF(AA9:AA13,"ง"))</f>
        <v/>
      </c>
      <c r="AB16" s="522">
        <f>IF(AB$4&lt;&gt;1,"",COUNTIF(AB9:AB13,"ง"))</f>
        <v/>
      </c>
      <c r="AC16" s="522">
        <f>IF(AC$4&lt;&gt;1,"",COUNTIF(AC9:AC13,"ง"))</f>
        <v/>
      </c>
      <c r="AD16" s="522">
        <f>IF(AD$4&lt;&gt;1,"",COUNTIF(AD9:AD13,"ง"))</f>
        <v/>
      </c>
      <c r="AE16" s="522">
        <f>IF(AE$4&lt;&gt;1,"",COUNTIF(AE9:AE13,"ง"))</f>
        <v/>
      </c>
      <c r="AF16" s="522">
        <f>IF(AF$4&lt;&gt;1,"",COUNTIF(AF9:AF13,"ง"))</f>
        <v/>
      </c>
      <c r="AG16" s="522">
        <f>IF(AG$4&lt;&gt;1,"",COUNTIF(AG9:AG13,"ง"))</f>
        <v/>
      </c>
      <c r="AH16" s="522">
        <f>IF(AH$4&lt;&gt;1,"",COUNTIF(AH9:AH13,"ง"))</f>
        <v/>
      </c>
      <c r="AI16" s="523" t="n"/>
      <c r="AJ16" s="524" t="n"/>
      <c r="AK16" s="525" t="n"/>
      <c r="AL16" s="521">
        <f>IF(AL$4&lt;&gt;1,"",COUNTIF(AL9:AL13,"ง"))</f>
        <v/>
      </c>
      <c r="AM16" s="522">
        <f>IF(AM$4&lt;&gt;1,"",COUNTIF(AM9:AM13,"ง"))</f>
        <v/>
      </c>
      <c r="AN16" s="522">
        <f>IF(AN$4&lt;&gt;1,"",COUNTIF(AN9:AN13,"ง"))</f>
        <v/>
      </c>
      <c r="AO16" s="522">
        <f>IF(AO$4&lt;&gt;1,"",COUNTIF(AO9:AO13,"ง"))</f>
        <v/>
      </c>
      <c r="AP16" s="522">
        <f>IF(AP$4&lt;&gt;1,"",COUNTIF(AP9:AP13,"ง"))</f>
        <v/>
      </c>
      <c r="AQ16" s="522">
        <f>IF(AQ$4&lt;&gt;1,"",COUNTIF(AQ9:AQ13,"ง"))</f>
        <v/>
      </c>
      <c r="AR16" s="522">
        <f>IF(AR$4&lt;&gt;1,"",COUNTIF(AR9:AR13,"ง"))</f>
        <v/>
      </c>
      <c r="AS16" s="522">
        <f>IF(AS$4&lt;&gt;1,"",COUNTIF(AS9:AS13,"ง"))</f>
        <v/>
      </c>
      <c r="AT16" s="522">
        <f>IF(AT$4&lt;&gt;1,"",COUNTIF(AT9:AT13,"ง"))</f>
        <v/>
      </c>
      <c r="AU16" s="522">
        <f>IF(AU$4&lt;&gt;1,"",COUNTIF(AU9:AU13,"ง"))</f>
        <v/>
      </c>
      <c r="AV16" s="522">
        <f>IF(AV$4&lt;&gt;1,"",COUNTIF(AV9:AV13,"ง"))</f>
        <v/>
      </c>
      <c r="AW16" s="522">
        <f>IF(AW$4&lt;&gt;1,"",COUNTIF(AW9:AW13,"ง"))</f>
        <v/>
      </c>
      <c r="AX16" s="522">
        <f>IF(AX$4&lt;&gt;1,"",COUNTIF(AX9:AX13,"ง"))</f>
        <v/>
      </c>
      <c r="AY16" s="522">
        <f>IF(AY$4&lt;&gt;1,"",COUNTIF(AY9:AY13,"ง"))</f>
        <v/>
      </c>
      <c r="AZ16" s="522">
        <f>IF(AZ$4&lt;&gt;1,"",COUNTIF(AZ9:AZ13,"ง"))</f>
        <v/>
      </c>
      <c r="BA16" s="522">
        <f>IF(BA$4&lt;&gt;1,"",COUNTIF(BA9:BA13,"ง"))</f>
        <v/>
      </c>
      <c r="BB16" s="522">
        <f>IF(BB$4&lt;&gt;1,"",COUNTIF(BB9:BB13,"ง"))</f>
        <v/>
      </c>
      <c r="BC16" s="522">
        <f>IF(BC$4&lt;&gt;1,"",COUNTIF(BC9:BC13,"ง"))</f>
        <v/>
      </c>
      <c r="BD16" s="522">
        <f>IF(BD$4&lt;&gt;1,"",COUNTIF(BD9:BD13,"ง"))</f>
        <v/>
      </c>
      <c r="BE16" s="522">
        <f>IF(BE$4&lt;&gt;1,"",COUNTIF(BE9:BE13,"ง"))</f>
        <v/>
      </c>
      <c r="BF16" s="522">
        <f>IF(BF$4&lt;&gt;1,"",COUNTIF(BF9:BF13,"ง"))</f>
        <v/>
      </c>
      <c r="BG16" s="522">
        <f>IF(BG$4&lt;&gt;1,"",COUNTIF(BG9:BG13,"ง"))</f>
        <v/>
      </c>
      <c r="BH16" s="522">
        <f>IF(BH$4&lt;&gt;1,"",COUNTIF(BH9:BH13,"ง"))</f>
        <v/>
      </c>
      <c r="BI16" s="522">
        <f>IF(BI$4&lt;&gt;1,"",COUNTIF(BI9:BI13,"ง"))</f>
        <v/>
      </c>
      <c r="BJ16" s="522">
        <f>IF(BJ$4&lt;&gt;1,"",COUNTIF(BJ9:BJ13,"ง"))</f>
        <v/>
      </c>
      <c r="BK16" s="522">
        <f>IF(BK$4&lt;&gt;1,"",COUNTIF(BK9:BK13,"ง"))</f>
        <v/>
      </c>
      <c r="BL16" s="522">
        <f>IF(BL$4&lt;&gt;1,"",COUNTIF(BL9:BL13,"ง"))</f>
        <v/>
      </c>
      <c r="BM16" s="522">
        <f>IF(BM$4&lt;&gt;1,"",COUNTIF(BM9:BM13,"ง"))</f>
        <v/>
      </c>
      <c r="BN16" s="522">
        <f>IF(BN$4&lt;&gt;1,"",COUNTIF(BN9:BN13,"ง"))</f>
        <v/>
      </c>
      <c r="BO16" s="522">
        <f>IF(BO$4&lt;&gt;1,"",COUNTIF(BO9:BO13,"ง"))</f>
        <v/>
      </c>
      <c r="BP16" s="522">
        <f>IF(BP$4&lt;&gt;1,"",COUNTIF(BP9:BP13,"ง"))</f>
        <v/>
      </c>
      <c r="BQ16" s="523" t="n"/>
      <c r="BR16" s="524" t="n"/>
      <c r="BS16" s="525" t="n"/>
      <c r="BT16" s="521">
        <f>IF(BT$4&lt;&gt;1,"",COUNTIF(BT9:BT13,"ง"))</f>
        <v/>
      </c>
      <c r="BU16" s="522">
        <f>IF(BU$4&lt;&gt;1,"",COUNTIF(BU9:BU13,"ง"))</f>
        <v/>
      </c>
      <c r="BV16" s="522">
        <f>IF(BV$4&lt;&gt;1,"",COUNTIF(BV9:BV13,"ง"))</f>
        <v/>
      </c>
      <c r="BW16" s="522">
        <f>IF(BW$4&lt;&gt;1,"",COUNTIF(BW9:BW13,"ง"))</f>
        <v/>
      </c>
      <c r="BX16" s="522">
        <f>IF(BX$4&lt;&gt;1,"",COUNTIF(BX9:BX13,"ง"))</f>
        <v/>
      </c>
      <c r="BY16" s="522">
        <f>IF(BY$4&lt;&gt;1,"",COUNTIF(BY9:BY13,"ง"))</f>
        <v/>
      </c>
      <c r="BZ16" s="522">
        <f>IF(BZ$4&lt;&gt;1,"",COUNTIF(BZ9:BZ13,"ง"))</f>
        <v/>
      </c>
      <c r="CA16" s="522">
        <f>IF(CA$4&lt;&gt;1,"",COUNTIF(CA9:CA13,"ง"))</f>
        <v/>
      </c>
      <c r="CB16" s="522">
        <f>IF(CB$4&lt;&gt;1,"",COUNTIF(CB9:CB13,"ง"))</f>
        <v/>
      </c>
      <c r="CC16" s="522">
        <f>IF(CC$4&lt;&gt;1,"",COUNTIF(CC9:CC13,"ง"))</f>
        <v/>
      </c>
      <c r="CD16" s="522">
        <f>IF(CD$4&lt;&gt;1,"",COUNTIF(CD9:CD13,"ง"))</f>
        <v/>
      </c>
      <c r="CE16" s="522">
        <f>IF(CE$4&lt;&gt;1,"",COUNTIF(CE9:CE13,"ง"))</f>
        <v/>
      </c>
      <c r="CF16" s="522">
        <f>IF(CF$4&lt;&gt;1,"",COUNTIF(CF9:CF13,"ง"))</f>
        <v/>
      </c>
      <c r="CG16" s="522">
        <f>IF(CG$4&lt;&gt;1,"",COUNTIF(CG9:CG13,"ง"))</f>
        <v/>
      </c>
      <c r="CH16" s="522">
        <f>IF(CH$4&lt;&gt;1,"",COUNTIF(CH9:CH13,"ง"))</f>
        <v/>
      </c>
      <c r="CI16" s="522">
        <f>IF(CI$4&lt;&gt;1,"",COUNTIF(CI9:CI13,"ง"))</f>
        <v/>
      </c>
      <c r="CJ16" s="522">
        <f>IF(CJ$4&lt;&gt;1,"",COUNTIF(CJ9:CJ13,"ง"))</f>
        <v/>
      </c>
      <c r="CK16" s="522">
        <f>IF(CK$4&lt;&gt;1,"",COUNTIF(CK9:CK13,"ง"))</f>
        <v/>
      </c>
      <c r="CL16" s="522">
        <f>IF(CL$4&lt;&gt;1,"",COUNTIF(CL9:CL13,"ง"))</f>
        <v/>
      </c>
      <c r="CM16" s="522">
        <f>IF(CM$4&lt;&gt;1,"",COUNTIF(CM9:CM13,"ง"))</f>
        <v/>
      </c>
      <c r="CN16" s="522">
        <f>IF(CN$4&lt;&gt;1,"",COUNTIF(CN9:CN13,"ง"))</f>
        <v/>
      </c>
      <c r="CO16" s="522">
        <f>IF(CO$4&lt;&gt;1,"",COUNTIF(CO9:CO13,"ง"))</f>
        <v/>
      </c>
      <c r="CP16" s="522">
        <f>IF(CP$4&lt;&gt;1,"",COUNTIF(CP9:CP13,"ง"))</f>
        <v/>
      </c>
      <c r="CQ16" s="522">
        <f>IF(CQ$4&lt;&gt;1,"",COUNTIF(CQ9:CQ13,"ง"))</f>
        <v/>
      </c>
      <c r="CR16" s="522">
        <f>IF(CR$4&lt;&gt;1,"",COUNTIF(CR9:CR13,"ง"))</f>
        <v/>
      </c>
      <c r="CS16" s="522">
        <f>IF(CS$4&lt;&gt;1,"",COUNTIF(CS9:CS13,"ง"))</f>
        <v/>
      </c>
      <c r="CT16" s="522">
        <f>IF(CT$4&lt;&gt;1,"",COUNTIF(CT9:CT13,"ง"))</f>
        <v/>
      </c>
      <c r="CU16" s="522">
        <f>IF(CU$4&lt;&gt;1,"",COUNTIF(CU9:CU13,"ง"))</f>
        <v/>
      </c>
      <c r="CV16" s="522">
        <f>IF(CV$4&lt;&gt;1,"",COUNTIF(CV9:CV13,"ง"))</f>
        <v/>
      </c>
      <c r="CW16" s="522">
        <f>IF(CW$4&lt;&gt;1,"",COUNTIF(CW9:CW13,"ง"))</f>
        <v/>
      </c>
      <c r="CX16" s="522">
        <f>IF(CX$4&lt;&gt;1,"",COUNTIF(CX9:CX13,"ง"))</f>
        <v/>
      </c>
      <c r="CY16" s="523" t="n"/>
      <c r="CZ16" s="524" t="n"/>
      <c r="DA16" s="525" t="n"/>
      <c r="DB16" s="521">
        <f>IF(DB$4&lt;&gt;1,"",COUNTIF(DB9:DB13,"ง"))</f>
        <v/>
      </c>
      <c r="DC16" s="522">
        <f>IF(DC$4&lt;&gt;1,"",COUNTIF(DC9:DC13,"ง"))</f>
        <v/>
      </c>
      <c r="DD16" s="522">
        <f>IF(DD$4&lt;&gt;1,"",COUNTIF(DD9:DD13,"ง"))</f>
        <v/>
      </c>
      <c r="DE16" s="522">
        <f>IF(DE$4&lt;&gt;1,"",COUNTIF(DE9:DE13,"ง"))</f>
        <v/>
      </c>
      <c r="DF16" s="522">
        <f>IF(DF$4&lt;&gt;1,"",COUNTIF(DF9:DF13,"ง"))</f>
        <v/>
      </c>
      <c r="DG16" s="522">
        <f>IF(DG$4&lt;&gt;1,"",COUNTIF(DG9:DG13,"ง"))</f>
        <v/>
      </c>
      <c r="DH16" s="522">
        <f>IF(DH$4&lt;&gt;1,"",COUNTIF(DH9:DH13,"ง"))</f>
        <v/>
      </c>
      <c r="DI16" s="522">
        <f>IF(DI$4&lt;&gt;1,"",COUNTIF(DI9:DI13,"ง"))</f>
        <v/>
      </c>
      <c r="DJ16" s="522">
        <f>IF(DJ$4&lt;&gt;1,"",COUNTIF(DJ9:DJ13,"ง"))</f>
        <v/>
      </c>
      <c r="DK16" s="522">
        <f>IF(DK$4&lt;&gt;1,"",COUNTIF(DK9:DK13,"ง"))</f>
        <v/>
      </c>
      <c r="DL16" s="522">
        <f>IF(DL$4&lt;&gt;1,"",COUNTIF(DL9:DL13,"ง"))</f>
        <v/>
      </c>
      <c r="DM16" s="522">
        <f>IF(DM$4&lt;&gt;1,"",COUNTIF(DM9:DM13,"ง"))</f>
        <v/>
      </c>
      <c r="DN16" s="522">
        <f>IF(DN$4&lt;&gt;1,"",COUNTIF(DN9:DN13,"ง"))</f>
        <v/>
      </c>
      <c r="DO16" s="522">
        <f>IF(DO$4&lt;&gt;1,"",COUNTIF(DO9:DO13,"ง"))</f>
        <v/>
      </c>
      <c r="DP16" s="522">
        <f>IF(DP$4&lt;&gt;1,"",COUNTIF(DP9:DP13,"ง"))</f>
        <v/>
      </c>
      <c r="DQ16" s="522">
        <f>IF(DQ$4&lt;&gt;1,"",COUNTIF(DQ9:DQ13,"ง"))</f>
        <v/>
      </c>
      <c r="DR16" s="522">
        <f>IF(DR$4&lt;&gt;1,"",COUNTIF(DR9:DR13,"ง"))</f>
        <v/>
      </c>
      <c r="DS16" s="522">
        <f>IF(DS$4&lt;&gt;1,"",COUNTIF(DS9:DS13,"ง"))</f>
        <v/>
      </c>
      <c r="DT16" s="522">
        <f>IF(DT$4&lt;&gt;1,"",COUNTIF(DT9:DT13,"ง"))</f>
        <v/>
      </c>
      <c r="DU16" s="522">
        <f>IF(DU$4&lt;&gt;1,"",COUNTIF(DU9:DU13,"ง"))</f>
        <v/>
      </c>
      <c r="DV16" s="522">
        <f>IF(DV$4&lt;&gt;1,"",COUNTIF(DV9:DV13,"ง"))</f>
        <v/>
      </c>
      <c r="DW16" s="522">
        <f>IF(DW$4&lt;&gt;1,"",COUNTIF(DW9:DW13,"ง"))</f>
        <v/>
      </c>
      <c r="DX16" s="522">
        <f>IF(DX$4&lt;&gt;1,"",COUNTIF(DX9:DX13,"ง"))</f>
        <v/>
      </c>
      <c r="DY16" s="522">
        <f>IF(DY$4&lt;&gt;1,"",COUNTIF(DY9:DY13,"ง"))</f>
        <v/>
      </c>
      <c r="DZ16" s="522">
        <f>IF(DZ$4&lt;&gt;1,"",COUNTIF(DZ9:DZ13,"ง"))</f>
        <v/>
      </c>
      <c r="EA16" s="522">
        <f>IF(EA$4&lt;&gt;1,"",COUNTIF(EA9:EA13,"ง"))</f>
        <v/>
      </c>
      <c r="EB16" s="522">
        <f>IF(EB$4&lt;&gt;1,"",COUNTIF(EB9:EB13,"ง"))</f>
        <v/>
      </c>
      <c r="EC16" s="522">
        <f>IF(EC$4&lt;&gt;1,"",COUNTIF(EC9:EC13,"ง"))</f>
        <v/>
      </c>
      <c r="ED16" s="522">
        <f>IF(ED$4&lt;&gt;1,"",COUNTIF(ED9:ED13,"ง"))</f>
        <v/>
      </c>
      <c r="EE16" s="522">
        <f>IF(EE$4&lt;&gt;1,"",COUNTIF(EE9:EE13,"ง"))</f>
        <v/>
      </c>
      <c r="EF16" s="522">
        <f>IF(EF$4&lt;&gt;1,"",COUNTIF(EF9:EF13,"ง"))</f>
        <v/>
      </c>
      <c r="EG16" s="523" t="n"/>
      <c r="EH16" s="524" t="n"/>
      <c r="EI16" s="525" t="n"/>
      <c r="EJ16" s="521">
        <f>IF(EJ$4&lt;&gt;1,"",COUNTIF(EJ9:EJ13,"ง"))</f>
        <v/>
      </c>
      <c r="EK16" s="522">
        <f>IF(EK$4&lt;&gt;1,"",COUNTIF(EK9:EK13,"ง"))</f>
        <v/>
      </c>
      <c r="EL16" s="522">
        <f>IF(EL$4&lt;&gt;1,"",COUNTIF(EL9:EL13,"ง"))</f>
        <v/>
      </c>
      <c r="EM16" s="522">
        <f>IF(EM$4&lt;&gt;1,"",COUNTIF(EM9:EM13,"ง"))</f>
        <v/>
      </c>
      <c r="EN16" s="522">
        <f>IF(EN$4&lt;&gt;1,"",COUNTIF(EN9:EN13,"ง"))</f>
        <v/>
      </c>
      <c r="EO16" s="522">
        <f>IF(EO$4&lt;&gt;1,"",COUNTIF(EO9:EO13,"ง"))</f>
        <v/>
      </c>
      <c r="EP16" s="522">
        <f>IF(EP$4&lt;&gt;1,"",COUNTIF(EP9:EP13,"ง"))</f>
        <v/>
      </c>
      <c r="EQ16" s="522">
        <f>IF(EQ$4&lt;&gt;1,"",COUNTIF(EQ9:EQ13,"ง"))</f>
        <v/>
      </c>
      <c r="ER16" s="522">
        <f>IF(ER$4&lt;&gt;1,"",COUNTIF(ER9:ER13,"ง"))</f>
        <v/>
      </c>
      <c r="ES16" s="522">
        <f>IF(ES$4&lt;&gt;1,"",COUNTIF(ES9:ES13,"ง"))</f>
        <v/>
      </c>
      <c r="ET16" s="522">
        <f>IF(ET$4&lt;&gt;1,"",COUNTIF(ET9:ET13,"ง"))</f>
        <v/>
      </c>
      <c r="EU16" s="522">
        <f>IF(EU$4&lt;&gt;1,"",COUNTIF(EU9:EU13,"ง"))</f>
        <v/>
      </c>
      <c r="EV16" s="522">
        <f>IF(EV$4&lt;&gt;1,"",COUNTIF(EV9:EV13,"ง"))</f>
        <v/>
      </c>
      <c r="EW16" s="522">
        <f>IF(EW$4&lt;&gt;1,"",COUNTIF(EW9:EW13,"ง"))</f>
        <v/>
      </c>
      <c r="EX16" s="522">
        <f>IF(EX$4&lt;&gt;1,"",COUNTIF(EX9:EX13,"ง"))</f>
        <v/>
      </c>
      <c r="EY16" s="522">
        <f>IF(EY$4&lt;&gt;1,"",COUNTIF(EY9:EY13,"ง"))</f>
        <v/>
      </c>
      <c r="EZ16" s="522">
        <f>IF(EZ$4&lt;&gt;1,"",COUNTIF(EZ9:EZ13,"ง"))</f>
        <v/>
      </c>
      <c r="FA16" s="522">
        <f>IF(FA$4&lt;&gt;1,"",COUNTIF(FA9:FA13,"ง"))</f>
        <v/>
      </c>
      <c r="FB16" s="522">
        <f>IF(FB$4&lt;&gt;1,"",COUNTIF(FB9:FB13,"ง"))</f>
        <v/>
      </c>
      <c r="FC16" s="522">
        <f>IF(FC$4&lt;&gt;1,"",COUNTIF(FC9:FC13,"ง"))</f>
        <v/>
      </c>
      <c r="FD16" s="522">
        <f>IF(FD$4&lt;&gt;1,"",COUNTIF(FD9:FD13,"ง"))</f>
        <v/>
      </c>
      <c r="FE16" s="522">
        <f>IF(FE$4&lt;&gt;1,"",COUNTIF(FE9:FE13,"ง"))</f>
        <v/>
      </c>
      <c r="FF16" s="522">
        <f>IF(FF$4&lt;&gt;1,"",COUNTIF(FF9:FF13,"ง"))</f>
        <v/>
      </c>
      <c r="FG16" s="522">
        <f>IF(FG$4&lt;&gt;1,"",COUNTIF(FG9:FG13,"ง"))</f>
        <v/>
      </c>
      <c r="FH16" s="522">
        <f>IF(FH$4&lt;&gt;1,"",COUNTIF(FH9:FH13,"ง"))</f>
        <v/>
      </c>
      <c r="FI16" s="522">
        <f>IF(FI$4&lt;&gt;1,"",COUNTIF(FI9:FI13,"ง"))</f>
        <v/>
      </c>
      <c r="FJ16" s="522">
        <f>IF(FJ$4&lt;&gt;1,"",COUNTIF(FJ9:FJ13,"ง"))</f>
        <v/>
      </c>
      <c r="FK16" s="522">
        <f>IF(FK$4&lt;&gt;1,"",COUNTIF(FK9:FK13,"ง"))</f>
        <v/>
      </c>
      <c r="FL16" s="522">
        <f>IF(FL$4&lt;&gt;1,"",COUNTIF(FL9:FL13,"ง"))</f>
        <v/>
      </c>
      <c r="FM16" s="522">
        <f>IF(FM$4&lt;&gt;1,"",COUNTIF(FM9:FM13,"ง"))</f>
        <v/>
      </c>
      <c r="FN16" s="522">
        <f>IF(FN$4&lt;&gt;1,"",COUNTIF(FN9:FN13,"ง"))</f>
        <v/>
      </c>
      <c r="FO16" s="523" t="n"/>
      <c r="FP16" s="524" t="n"/>
      <c r="FQ16" s="525" t="n"/>
    </row>
    <row r="17" ht="92" customHeight="1">
      <c r="A17" s="520" t="inlineStr">
        <is>
          <t>เมนูอาหาร</t>
        </is>
      </c>
      <c r="B17" s="184" t="n"/>
      <c r="C17" s="184" t="n"/>
      <c r="D17" s="526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523" t="n"/>
      <c r="AJ17" s="524" t="n"/>
      <c r="AK17" s="525" t="n"/>
      <c r="AL17" s="526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523" t="n"/>
      <c r="BR17" s="524" t="n"/>
      <c r="BS17" s="525" t="n"/>
      <c r="BT17" s="526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523" t="n"/>
      <c r="CZ17" s="524" t="n"/>
      <c r="DA17" s="525" t="n"/>
      <c r="DB17" s="526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523" t="n"/>
      <c r="EH17" s="524" t="n"/>
      <c r="EI17" s="525" t="n"/>
      <c r="EJ17" s="526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523" t="n"/>
      <c r="FP17" s="524" t="n"/>
      <c r="FQ17" s="525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ห  ล  ง" type="list">
      <formula1>"ห,ล,ง"</formula1>
    </dataValidation>
    <dataValidation sqref="AL9:BP13" showDropDown="0" showInputMessage="0" showErrorMessage="0" allowBlank="1" errorTitle="ตรวจสอบข้อมูล" error="ใช้รหัส: ห  ล  ง" type="list">
      <formula1>"ห,ล,ง"</formula1>
    </dataValidation>
    <dataValidation sqref="BT9:CX13" showDropDown="0" showInputMessage="0" showErrorMessage="0" allowBlank="1" errorTitle="ตรวจสอบข้อมูล" error="ใช้รหัส: ห  ล  ง" type="list">
      <formula1>"ห,ล,ง"</formula1>
    </dataValidation>
    <dataValidation sqref="DB9:EF13" showDropDown="0" showInputMessage="0" showErrorMessage="0" allowBlank="1" errorTitle="ตรวจสอบข้อมูล" error="ใช้รหัส: ห  ล  ง" type="list">
      <formula1>"ห,ล,ง"</formula1>
    </dataValidation>
    <dataValidation sqref="EJ9:FN13" showDropDown="0" showInputMessage="0" showErrorMessage="0" allowBlank="1" errorTitle="ตรวจสอบข้อมูล" error="ใช้รหัส: ห  ล  ง" type="list">
      <formula1>"ห,ล,ง"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tabColor rgb="009EB1FD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528" t="inlineStr">
        <is>
          <t>🏠</t>
        </is>
      </c>
      <c r="B1" s="529" t="n"/>
      <c r="C1" s="529" t="n"/>
      <c r="D1" s="529" t="n"/>
      <c r="E1" s="529" t="n"/>
      <c r="F1" s="529" t="n"/>
      <c r="G1" s="529" t="n"/>
      <c r="H1" s="529" t="n"/>
      <c r="I1" s="529" t="n"/>
      <c r="J1" s="529" t="n"/>
      <c r="K1" s="529" t="n"/>
      <c r="L1" s="529" t="n"/>
      <c r="M1" s="529" t="n"/>
      <c r="N1" s="529" t="n"/>
      <c r="O1" s="529" t="n"/>
      <c r="P1" s="529" t="n"/>
      <c r="Q1" s="529" t="n"/>
      <c r="R1" s="529" t="n"/>
      <c r="S1" s="529" t="n"/>
      <c r="T1" s="529" t="n"/>
      <c r="U1" s="529" t="n"/>
      <c r="V1" s="529" t="n"/>
      <c r="W1" s="529" t="n"/>
      <c r="X1" s="529" t="n"/>
      <c r="Y1" s="529" t="n"/>
      <c r="Z1" s="529" t="n"/>
      <c r="AA1" s="529" t="n"/>
      <c r="AB1" s="529" t="n"/>
      <c r="AC1" s="529" t="n"/>
      <c r="AD1" s="529" t="n"/>
      <c r="AE1" s="529" t="n"/>
      <c r="AF1" s="529" t="n"/>
      <c r="AG1" s="529" t="n"/>
      <c r="AH1" s="529" t="n"/>
      <c r="AI1" s="529" t="n"/>
      <c r="AJ1" s="529" t="n"/>
      <c r="AK1" s="529" t="n"/>
      <c r="AL1" s="529" t="n"/>
      <c r="AM1" s="529" t="n"/>
      <c r="AN1" s="529" t="n"/>
      <c r="AO1" s="529" t="n"/>
      <c r="AP1" s="529" t="n"/>
      <c r="AQ1" s="529" t="n"/>
      <c r="AR1" s="529" t="n"/>
      <c r="AS1" s="529" t="n"/>
      <c r="AT1" s="529" t="n"/>
      <c r="AU1" s="529" t="n"/>
      <c r="AV1" s="529" t="n"/>
      <c r="AW1" s="529" t="n"/>
      <c r="AX1" s="529" t="n"/>
      <c r="AY1" s="529" t="n"/>
      <c r="AZ1" s="529" t="n"/>
      <c r="BA1" s="529" t="n"/>
      <c r="BB1" s="529" t="n"/>
      <c r="BC1" s="529" t="n"/>
      <c r="BD1" s="529" t="n"/>
      <c r="BE1" s="529" t="n"/>
      <c r="BF1" s="529" t="n"/>
      <c r="BG1" s="529" t="n"/>
      <c r="BH1" s="529" t="n"/>
      <c r="BI1" s="529" t="n"/>
      <c r="BJ1" s="529" t="n"/>
      <c r="BK1" s="529" t="n"/>
      <c r="BL1" s="529" t="n"/>
      <c r="BM1" s="529" t="n"/>
      <c r="BN1" s="529" t="n"/>
      <c r="BO1" s="529" t="n"/>
      <c r="BP1" s="529" t="n"/>
      <c r="BQ1" s="529" t="n"/>
      <c r="BR1" s="529" t="n"/>
      <c r="BS1" s="529" t="n"/>
      <c r="BT1" s="529" t="n"/>
      <c r="BU1" s="529" t="n"/>
      <c r="BV1" s="529" t="n"/>
      <c r="BW1" s="529" t="n"/>
      <c r="BX1" s="529" t="n"/>
      <c r="BY1" s="529" t="n"/>
      <c r="BZ1" s="529" t="n"/>
      <c r="CA1" s="529" t="n"/>
      <c r="CB1" s="529" t="n"/>
      <c r="CC1" s="529" t="n"/>
      <c r="CD1" s="529" t="n"/>
      <c r="CE1" s="529" t="n"/>
      <c r="CF1" s="529" t="n"/>
      <c r="CG1" s="529" t="n"/>
      <c r="CH1" s="529" t="n"/>
      <c r="CI1" s="529" t="n"/>
      <c r="CJ1" s="529" t="n"/>
      <c r="CK1" s="529" t="n"/>
      <c r="CL1" s="529" t="n"/>
      <c r="CM1" s="529" t="n"/>
      <c r="CN1" s="529" t="n"/>
      <c r="CO1" s="529" t="n"/>
      <c r="CP1" s="529" t="n"/>
      <c r="CQ1" s="529" t="n"/>
      <c r="CR1" s="529" t="n"/>
      <c r="CS1" s="529" t="n"/>
      <c r="CT1" s="529" t="n"/>
      <c r="CU1" s="529" t="n"/>
      <c r="CV1" s="529" t="n"/>
      <c r="CW1" s="529" t="n"/>
      <c r="CX1" s="529" t="n"/>
      <c r="CY1" s="529" t="n"/>
      <c r="CZ1" s="529" t="n"/>
      <c r="DA1" s="529" t="n"/>
      <c r="DB1" s="529" t="n"/>
      <c r="DC1" s="529" t="n"/>
      <c r="DD1" s="529" t="n"/>
      <c r="DE1" s="529" t="n"/>
      <c r="DF1" s="529" t="n"/>
      <c r="DG1" s="529" t="n"/>
      <c r="DH1" s="529" t="n"/>
      <c r="DI1" s="529" t="n"/>
      <c r="DJ1" s="529" t="n"/>
      <c r="DK1" s="529" t="n"/>
      <c r="DL1" s="529" t="n"/>
      <c r="DM1" s="529" t="n"/>
      <c r="DN1" s="529" t="n"/>
      <c r="DO1" s="529" t="n"/>
      <c r="DP1" s="529" t="n"/>
      <c r="DQ1" s="529" t="n"/>
      <c r="DR1" s="529" t="n"/>
      <c r="DS1" s="529" t="n"/>
      <c r="DT1" s="529" t="n"/>
      <c r="DU1" s="529" t="n"/>
      <c r="DV1" s="529" t="n"/>
      <c r="DW1" s="529" t="n"/>
      <c r="DX1" s="529" t="n"/>
      <c r="DY1" s="529" t="n"/>
      <c r="DZ1" s="529" t="n"/>
      <c r="EA1" s="529" t="n"/>
      <c r="EB1" s="529" t="n"/>
      <c r="EC1" s="529" t="n"/>
      <c r="ED1" s="529" t="n"/>
      <c r="EE1" s="529" t="n"/>
      <c r="EF1" s="529" t="n"/>
      <c r="EG1" s="529" t="n"/>
      <c r="EH1" s="529" t="n"/>
      <c r="EI1" s="529" t="n"/>
      <c r="EJ1" s="529" t="n"/>
      <c r="EK1" s="529" t="n"/>
      <c r="EL1" s="529" t="n"/>
      <c r="EM1" s="529" t="n"/>
      <c r="EN1" s="529" t="n"/>
      <c r="EO1" s="529" t="n"/>
      <c r="EP1" s="529" t="n"/>
      <c r="EQ1" s="529" t="n"/>
      <c r="ER1" s="529" t="n"/>
      <c r="ES1" s="529" t="n"/>
      <c r="ET1" s="529" t="n"/>
      <c r="EU1" s="529" t="n"/>
      <c r="EV1" s="529" t="n"/>
      <c r="EW1" s="529" t="n"/>
      <c r="EX1" s="529" t="n"/>
      <c r="EY1" s="529" t="n"/>
      <c r="EZ1" s="529" t="n"/>
      <c r="FA1" s="529" t="n"/>
      <c r="FB1" s="529" t="n"/>
      <c r="FC1" s="529" t="n"/>
      <c r="FD1" s="529" t="n"/>
      <c r="FE1" s="529" t="n"/>
      <c r="FF1" s="529" t="n"/>
      <c r="FG1" s="529" t="n"/>
      <c r="FH1" s="529" t="n"/>
      <c r="FI1" s="529" t="n"/>
      <c r="FJ1" s="529" t="n"/>
      <c r="FK1" s="529" t="n"/>
      <c r="FL1" s="529" t="n"/>
      <c r="FM1" s="529" t="n"/>
      <c r="FN1" s="529" t="n"/>
      <c r="FO1" s="529" t="n"/>
      <c r="FP1" s="529" t="n"/>
      <c r="FQ1" s="529" t="n"/>
      <c r="FR1" s="529" t="n"/>
      <c r="FS1" s="529" t="n"/>
      <c r="FT1" s="529" t="n"/>
      <c r="FU1" s="529" t="n"/>
      <c r="FV1" s="529" t="n"/>
      <c r="FW1" s="529" t="n"/>
      <c r="FX1" s="529" t="n"/>
      <c r="FY1" s="529" t="n"/>
      <c r="FZ1" s="529" t="n"/>
      <c r="GA1" s="529" t="n"/>
      <c r="GB1" s="529" t="n"/>
      <c r="GC1" s="529" t="n"/>
      <c r="GD1" s="529" t="n"/>
      <c r="GE1" s="529" t="n"/>
      <c r="GF1" s="529" t="n"/>
      <c r="GG1" s="529" t="n"/>
      <c r="GH1" s="529" t="n"/>
      <c r="GI1" s="529" t="n"/>
      <c r="GJ1" s="529" t="n"/>
      <c r="GK1" s="529" t="n"/>
      <c r="GL1" s="529" t="n"/>
      <c r="GM1" s="529" t="n"/>
      <c r="GN1" s="529" t="n"/>
      <c r="GO1" s="529" t="n"/>
      <c r="GP1" s="529" t="n"/>
      <c r="GQ1" s="529" t="n"/>
      <c r="GR1" s="529" t="n"/>
      <c r="GS1" s="529" t="n"/>
      <c r="GT1" s="529" t="n"/>
      <c r="GU1" s="529" t="n"/>
      <c r="GV1" s="529" t="n"/>
      <c r="GW1" s="529" t="n"/>
      <c r="GX1" s="529" t="n"/>
      <c r="GY1" s="529" t="n"/>
    </row>
    <row r="2" ht="20" customHeight="1">
      <c r="A2" s="530" t="inlineStr">
        <is>
          <t>หน้าหลัก</t>
        </is>
      </c>
      <c r="B2" s="53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32" t="n"/>
      <c r="D2" s="532" t="n"/>
      <c r="E2" s="532" t="n"/>
      <c r="F2" s="532" t="n"/>
      <c r="G2" s="532" t="n"/>
      <c r="H2" s="532" t="n"/>
      <c r="I2" s="532" t="n"/>
      <c r="J2" s="532" t="n"/>
      <c r="K2" s="532" t="n"/>
      <c r="L2" s="532" t="n"/>
      <c r="M2" s="532" t="n"/>
      <c r="N2" s="532" t="n"/>
      <c r="O2" s="532" t="n"/>
      <c r="P2" s="532" t="n"/>
      <c r="Q2" s="532" t="n"/>
      <c r="R2" s="532" t="n"/>
      <c r="S2" s="532" t="n"/>
      <c r="T2" s="532" t="n"/>
      <c r="U2" s="532" t="n"/>
      <c r="V2" s="532" t="n"/>
      <c r="W2" s="532" t="n"/>
      <c r="X2" s="532" t="n"/>
      <c r="Y2" s="532" t="n"/>
      <c r="Z2" s="532" t="n"/>
      <c r="AA2" s="532" t="n"/>
      <c r="AB2" s="532" t="n"/>
      <c r="AC2" s="532" t="n"/>
      <c r="AD2" s="532" t="n"/>
      <c r="AE2" s="532" t="n"/>
      <c r="AF2" s="532" t="n"/>
      <c r="AG2" s="532" t="n"/>
      <c r="AH2" s="532" t="n"/>
      <c r="AI2" s="532" t="n"/>
      <c r="AJ2" s="532" t="n"/>
      <c r="AK2" s="532" t="n"/>
      <c r="AL2" s="532" t="n"/>
      <c r="AM2" s="532" t="n"/>
      <c r="AN2" s="532" t="n"/>
      <c r="AO2" s="532" t="n"/>
      <c r="AP2" s="532" t="n"/>
      <c r="AQ2" s="532" t="n"/>
      <c r="AR2" s="532" t="n"/>
      <c r="AS2" s="532" t="n"/>
      <c r="AT2" s="532" t="n"/>
      <c r="AU2" s="532" t="n"/>
      <c r="AV2" s="532" t="n"/>
      <c r="AW2" s="532" t="n"/>
      <c r="AX2" s="532" t="n"/>
      <c r="AY2" s="532" t="n"/>
      <c r="AZ2" s="532" t="n"/>
      <c r="BA2" s="532" t="n"/>
      <c r="BB2" s="532" t="n"/>
      <c r="BC2" s="532" t="n"/>
      <c r="BD2" s="532" t="n"/>
      <c r="BE2" s="532" t="n"/>
      <c r="BF2" s="532" t="n"/>
      <c r="BG2" s="532" t="n"/>
      <c r="BH2" s="532" t="n"/>
      <c r="BI2" s="532" t="n"/>
      <c r="BJ2" s="532" t="n"/>
      <c r="BK2" s="532" t="n"/>
      <c r="BL2" s="532" t="n"/>
      <c r="BM2" s="532" t="n"/>
      <c r="BN2" s="532" t="n"/>
      <c r="BO2" s="532" t="n"/>
      <c r="BP2" s="532" t="n"/>
      <c r="BQ2" s="532" t="n"/>
      <c r="BR2" s="532" t="n"/>
      <c r="BS2" s="532" t="n"/>
      <c r="BT2" s="532" t="n"/>
      <c r="BU2" s="532" t="n"/>
      <c r="BV2" s="532" t="n"/>
      <c r="BW2" s="532" t="n"/>
      <c r="BX2" s="532" t="n"/>
      <c r="BY2" s="532" t="n"/>
      <c r="BZ2" s="532" t="n"/>
      <c r="CA2" s="532" t="n"/>
      <c r="CB2" s="532" t="n"/>
      <c r="CC2" s="532" t="n"/>
      <c r="CD2" s="532" t="n"/>
      <c r="CE2" s="532" t="n"/>
      <c r="CF2" s="532" t="n"/>
      <c r="CG2" s="532" t="n"/>
      <c r="CH2" s="532" t="n"/>
      <c r="CI2" s="532" t="n"/>
      <c r="CJ2" s="532" t="n"/>
      <c r="CK2" s="532" t="n"/>
      <c r="CL2" s="532" t="n"/>
      <c r="CM2" s="532" t="n"/>
      <c r="CN2" s="532" t="n"/>
      <c r="CO2" s="532" t="n"/>
      <c r="CP2" s="532" t="n"/>
      <c r="CQ2" s="532" t="n"/>
      <c r="CR2" s="532" t="n"/>
      <c r="CS2" s="532" t="n"/>
      <c r="CT2" s="532" t="n"/>
      <c r="CU2" s="532" t="n"/>
      <c r="CV2" s="532" t="n"/>
      <c r="CW2" s="532" t="n"/>
      <c r="CX2" s="532" t="n"/>
      <c r="CY2" s="532" t="n"/>
      <c r="CZ2" s="532" t="n"/>
      <c r="DA2" s="532" t="n"/>
      <c r="DB2" s="532" t="n"/>
      <c r="DC2" s="532" t="n"/>
      <c r="DD2" s="532" t="n"/>
      <c r="DE2" s="532" t="n"/>
      <c r="DF2" s="532" t="n"/>
      <c r="DG2" s="532" t="n"/>
      <c r="DH2" s="532" t="n"/>
      <c r="DI2" s="532" t="n"/>
      <c r="DJ2" s="532" t="n"/>
      <c r="DK2" s="532" t="n"/>
      <c r="DL2" s="532" t="n"/>
      <c r="DM2" s="532" t="n"/>
      <c r="DN2" s="532" t="n"/>
      <c r="DO2" s="532" t="n"/>
      <c r="DP2" s="532" t="n"/>
      <c r="DQ2" s="532" t="n"/>
      <c r="DR2" s="532" t="n"/>
      <c r="DS2" s="532" t="n"/>
      <c r="DT2" s="532" t="n"/>
      <c r="DU2" s="532" t="n"/>
      <c r="DV2" s="532" t="n"/>
      <c r="DW2" s="532" t="n"/>
      <c r="DX2" s="532" t="n"/>
      <c r="DY2" s="532" t="n"/>
      <c r="DZ2" s="532" t="n"/>
      <c r="EA2" s="532" t="n"/>
      <c r="EB2" s="532" t="n"/>
      <c r="EC2" s="532" t="n"/>
      <c r="ED2" s="532" t="n"/>
      <c r="EE2" s="532" t="n"/>
      <c r="EF2" s="532" t="n"/>
      <c r="EG2" s="532" t="n"/>
      <c r="EH2" s="532" t="n"/>
      <c r="EI2" s="532" t="n"/>
      <c r="EJ2" s="532" t="n"/>
      <c r="EK2" s="532" t="n"/>
      <c r="EL2" s="532" t="n"/>
      <c r="EM2" s="532" t="n"/>
      <c r="EN2" s="532" t="n"/>
      <c r="EO2" s="532" t="n"/>
      <c r="EP2" s="532" t="n"/>
      <c r="EQ2" s="532" t="n"/>
      <c r="ER2" s="532" t="n"/>
      <c r="ES2" s="532" t="n"/>
      <c r="ET2" s="532" t="n"/>
      <c r="EU2" s="532" t="n"/>
      <c r="EV2" s="532" t="n"/>
      <c r="EW2" s="532" t="n"/>
      <c r="EX2" s="532" t="n"/>
      <c r="EY2" s="532" t="n"/>
      <c r="EZ2" s="532" t="n"/>
      <c r="FA2" s="532" t="n"/>
      <c r="FB2" s="532" t="n"/>
      <c r="FC2" s="532" t="n"/>
      <c r="FD2" s="532" t="n"/>
      <c r="FE2" s="532" t="n"/>
      <c r="FF2" s="532" t="n"/>
      <c r="FG2" s="532" t="n"/>
      <c r="FH2" s="532" t="n"/>
      <c r="FI2" s="532" t="n"/>
      <c r="FJ2" s="532" t="n"/>
      <c r="FK2" s="532" t="n"/>
      <c r="FL2" s="532" t="n"/>
      <c r="FM2" s="532" t="n"/>
      <c r="FN2" s="532" t="n"/>
      <c r="FO2" s="532" t="n"/>
      <c r="FP2" s="532" t="n"/>
      <c r="FQ2" s="532" t="n"/>
      <c r="FR2" s="532" t="n"/>
      <c r="FS2" s="532" t="n"/>
      <c r="FT2" s="532" t="n"/>
      <c r="FU2" s="532" t="n"/>
      <c r="FV2" s="532" t="n"/>
      <c r="FW2" s="532" t="n"/>
      <c r="FX2" s="532" t="n"/>
      <c r="FY2" s="532" t="n"/>
      <c r="FZ2" s="532" t="n"/>
      <c r="GA2" s="532" t="n"/>
      <c r="GB2" s="532" t="n"/>
      <c r="GC2" s="532" t="n"/>
      <c r="GD2" s="532" t="n"/>
      <c r="GE2" s="532" t="n"/>
      <c r="GF2" s="532" t="n"/>
      <c r="GG2" s="532" t="n"/>
      <c r="GH2" s="532" t="n"/>
      <c r="GI2" s="532" t="n"/>
      <c r="GJ2" s="532" t="n"/>
      <c r="GK2" s="532" t="n"/>
      <c r="GL2" s="532" t="n"/>
      <c r="GM2" s="532" t="n"/>
      <c r="GN2" s="532" t="n"/>
      <c r="GO2" s="532" t="n"/>
      <c r="GP2" s="532" t="n"/>
      <c r="GQ2" s="532" t="n"/>
      <c r="GR2" s="532" t="n"/>
      <c r="GS2" s="532" t="n"/>
      <c r="GT2" s="532" t="n"/>
      <c r="GU2" s="532" t="n"/>
      <c r="GV2" s="532" t="n"/>
      <c r="GW2" s="532" t="n"/>
      <c r="GX2" s="532" t="n"/>
      <c r="GY2" s="532" t="n"/>
    </row>
    <row r="3" ht="18" customHeight="1">
      <c r="B3" s="533" t="inlineStr">
        <is>
          <t>รหัส   น = นอนหลับ     พ = พักผ่อน (ไม่หลับ)     ง = ไม่นอน      (พิมพ์ด้วยแป้นภาษาไทยได้เลย)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534" t="inlineStr">
        <is>
          <t>เลขที่</t>
        </is>
      </c>
      <c r="B5" s="534" t="inlineStr">
        <is>
          <t>ชื่อ - สกุล</t>
        </is>
      </c>
      <c r="C5" s="535" t="inlineStr">
        <is>
          <t>ร้อยละ
นอนหลับ</t>
        </is>
      </c>
      <c r="D5" s="536">
        <f>"เดือนพฤษภาคม  พ.ศ. "&amp;('ข้อมูลโรงเรียน'!$C$12-543+543)</f>
        <v/>
      </c>
      <c r="AI5" s="537" t="inlineStr">
        <is>
          <t>สรุป พ.ค.</t>
        </is>
      </c>
      <c r="AL5" s="536">
        <f>"เดือนมิถุนายน  พ.ศ. "&amp;('ข้อมูลโรงเรียน'!$C$12-543+543)</f>
        <v/>
      </c>
      <c r="BQ5" s="537" t="inlineStr">
        <is>
          <t>สรุป มิ.ย.</t>
        </is>
      </c>
      <c r="BT5" s="536">
        <f>"เดือนกรกฎาคม  พ.ศ. "&amp;('ข้อมูลโรงเรียน'!$C$12-543+543)</f>
        <v/>
      </c>
      <c r="CY5" s="537" t="inlineStr">
        <is>
          <t>สรุป ก.ค.</t>
        </is>
      </c>
      <c r="DB5" s="536">
        <f>"เดือนสิงหาคม  พ.ศ. "&amp;('ข้อมูลโรงเรียน'!$C$12-543+543)</f>
        <v/>
      </c>
      <c r="EG5" s="537" t="inlineStr">
        <is>
          <t>สรุป ส.ค.</t>
        </is>
      </c>
      <c r="EJ5" s="536">
        <f>"เดือนกันยายน  พ.ศ. "&amp;('ข้อมูลโรงเรียน'!$C$12-543+543)</f>
        <v/>
      </c>
      <c r="FO5" s="537" t="inlineStr">
        <is>
          <t>สรุป ก.ย.</t>
        </is>
      </c>
      <c r="FR5" s="536">
        <f>"เดือนตุลาคม  พ.ศ. "&amp;('ข้อมูลโรงเรียน'!$C$12-543+543)</f>
        <v/>
      </c>
      <c r="GW5" s="537" t="inlineStr">
        <is>
          <t>สรุป ต.ค.</t>
        </is>
      </c>
    </row>
    <row r="6">
      <c r="D6" s="538">
        <f>IF('ปฏิทิน'!D1="","",DAY('ปฏิทิน'!D1))</f>
        <v/>
      </c>
      <c r="E6" s="535">
        <f>IF('ปฏิทิน'!E1="","",DAY('ปฏิทิน'!E1))</f>
        <v/>
      </c>
      <c r="F6" s="535">
        <f>IF('ปฏิทิน'!F1="","",DAY('ปฏิทิน'!F1))</f>
        <v/>
      </c>
      <c r="G6" s="535">
        <f>IF('ปฏิทิน'!G1="","",DAY('ปฏิทิน'!G1))</f>
        <v/>
      </c>
      <c r="H6" s="535">
        <f>IF('ปฏิทิน'!H1="","",DAY('ปฏิทิน'!H1))</f>
        <v/>
      </c>
      <c r="I6" s="535">
        <f>IF('ปฏิทิน'!I1="","",DAY('ปฏิทิน'!I1))</f>
        <v/>
      </c>
      <c r="J6" s="535">
        <f>IF('ปฏิทิน'!J1="","",DAY('ปฏิทิน'!J1))</f>
        <v/>
      </c>
      <c r="K6" s="535">
        <f>IF('ปฏิทิน'!K1="","",DAY('ปฏิทิน'!K1))</f>
        <v/>
      </c>
      <c r="L6" s="535">
        <f>IF('ปฏิทิน'!L1="","",DAY('ปฏิทิน'!L1))</f>
        <v/>
      </c>
      <c r="M6" s="535">
        <f>IF('ปฏิทิน'!M1="","",DAY('ปฏิทิน'!M1))</f>
        <v/>
      </c>
      <c r="N6" s="535">
        <f>IF('ปฏิทิน'!N1="","",DAY('ปฏิทิน'!N1))</f>
        <v/>
      </c>
      <c r="O6" s="535">
        <f>IF('ปฏิทิน'!O1="","",DAY('ปฏิทิน'!O1))</f>
        <v/>
      </c>
      <c r="P6" s="535">
        <f>IF('ปฏิทิน'!P1="","",DAY('ปฏิทิน'!P1))</f>
        <v/>
      </c>
      <c r="Q6" s="535">
        <f>IF('ปฏิทิน'!Q1="","",DAY('ปฏิทิน'!Q1))</f>
        <v/>
      </c>
      <c r="R6" s="535">
        <f>IF('ปฏิทิน'!R1="","",DAY('ปฏิทิน'!R1))</f>
        <v/>
      </c>
      <c r="S6" s="535">
        <f>IF('ปฏิทิน'!S1="","",DAY('ปฏิทิน'!S1))</f>
        <v/>
      </c>
      <c r="T6" s="535">
        <f>IF('ปฏิทิน'!T1="","",DAY('ปฏิทิน'!T1))</f>
        <v/>
      </c>
      <c r="U6" s="535">
        <f>IF('ปฏิทิน'!U1="","",DAY('ปฏิทิน'!U1))</f>
        <v/>
      </c>
      <c r="V6" s="535">
        <f>IF('ปฏิทิน'!V1="","",DAY('ปฏิทิน'!V1))</f>
        <v/>
      </c>
      <c r="W6" s="535">
        <f>IF('ปฏิทิน'!W1="","",DAY('ปฏิทิน'!W1))</f>
        <v/>
      </c>
      <c r="X6" s="535">
        <f>IF('ปฏิทิน'!X1="","",DAY('ปฏิทิน'!X1))</f>
        <v/>
      </c>
      <c r="Y6" s="535">
        <f>IF('ปฏิทิน'!Y1="","",DAY('ปฏิทิน'!Y1))</f>
        <v/>
      </c>
      <c r="Z6" s="535">
        <f>IF('ปฏิทิน'!Z1="","",DAY('ปฏิทิน'!Z1))</f>
        <v/>
      </c>
      <c r="AA6" s="535">
        <f>IF('ปฏิทิน'!AA1="","",DAY('ปฏิทิน'!AA1))</f>
        <v/>
      </c>
      <c r="AB6" s="535">
        <f>IF('ปฏิทิน'!AB1="","",DAY('ปฏิทิน'!AB1))</f>
        <v/>
      </c>
      <c r="AC6" s="535">
        <f>IF('ปฏิทิน'!AC1="","",DAY('ปฏิทิน'!AC1))</f>
        <v/>
      </c>
      <c r="AD6" s="535">
        <f>IF('ปฏิทิน'!AD1="","",DAY('ปฏิทิน'!AD1))</f>
        <v/>
      </c>
      <c r="AE6" s="535">
        <f>IF('ปฏิทิน'!AE1="","",DAY('ปฏิทิน'!AE1))</f>
        <v/>
      </c>
      <c r="AF6" s="535">
        <f>IF('ปฏิทิน'!AF1="","",DAY('ปฏิทิน'!AF1))</f>
        <v/>
      </c>
      <c r="AG6" s="535">
        <f>IF('ปฏิทิน'!AG1="","",DAY('ปฏิทิน'!AG1))</f>
        <v/>
      </c>
      <c r="AH6" s="535">
        <f>IF('ปฏิทิน'!AH1="","",DAY('ปฏิทิน'!AH1))</f>
        <v/>
      </c>
      <c r="AI6" s="539" t="inlineStr">
        <is>
          <t>หลับ</t>
        </is>
      </c>
      <c r="AJ6" s="540" t="inlineStr">
        <is>
          <t>พัก</t>
        </is>
      </c>
      <c r="AK6" s="541" t="inlineStr">
        <is>
          <t>ไม่
นอน</t>
        </is>
      </c>
      <c r="AL6" s="538">
        <f>IF('ปฏิทิน'!AL1="","",DAY('ปฏิทิน'!AL1))</f>
        <v/>
      </c>
      <c r="AM6" s="535">
        <f>IF('ปฏิทิน'!AM1="","",DAY('ปฏิทิน'!AM1))</f>
        <v/>
      </c>
      <c r="AN6" s="535">
        <f>IF('ปฏิทิน'!AN1="","",DAY('ปฏิทิน'!AN1))</f>
        <v/>
      </c>
      <c r="AO6" s="535">
        <f>IF('ปฏิทิน'!AO1="","",DAY('ปฏิทิน'!AO1))</f>
        <v/>
      </c>
      <c r="AP6" s="535">
        <f>IF('ปฏิทิน'!AP1="","",DAY('ปฏิทิน'!AP1))</f>
        <v/>
      </c>
      <c r="AQ6" s="535">
        <f>IF('ปฏิทิน'!AQ1="","",DAY('ปฏิทิน'!AQ1))</f>
        <v/>
      </c>
      <c r="AR6" s="535">
        <f>IF('ปฏิทิน'!AR1="","",DAY('ปฏิทิน'!AR1))</f>
        <v/>
      </c>
      <c r="AS6" s="535">
        <f>IF('ปฏิทิน'!AS1="","",DAY('ปฏิทิน'!AS1))</f>
        <v/>
      </c>
      <c r="AT6" s="535">
        <f>IF('ปฏิทิน'!AT1="","",DAY('ปฏิทิน'!AT1))</f>
        <v/>
      </c>
      <c r="AU6" s="535">
        <f>IF('ปฏิทิน'!AU1="","",DAY('ปฏิทิน'!AU1))</f>
        <v/>
      </c>
      <c r="AV6" s="535">
        <f>IF('ปฏิทิน'!AV1="","",DAY('ปฏิทิน'!AV1))</f>
        <v/>
      </c>
      <c r="AW6" s="535">
        <f>IF('ปฏิทิน'!AW1="","",DAY('ปฏิทิน'!AW1))</f>
        <v/>
      </c>
      <c r="AX6" s="535">
        <f>IF('ปฏิทิน'!AX1="","",DAY('ปฏิทิน'!AX1))</f>
        <v/>
      </c>
      <c r="AY6" s="535">
        <f>IF('ปฏิทิน'!AY1="","",DAY('ปฏิทิน'!AY1))</f>
        <v/>
      </c>
      <c r="AZ6" s="535">
        <f>IF('ปฏิทิน'!AZ1="","",DAY('ปฏิทิน'!AZ1))</f>
        <v/>
      </c>
      <c r="BA6" s="535">
        <f>IF('ปฏิทิน'!BA1="","",DAY('ปฏิทิน'!BA1))</f>
        <v/>
      </c>
      <c r="BB6" s="535">
        <f>IF('ปฏิทิน'!BB1="","",DAY('ปฏิทิน'!BB1))</f>
        <v/>
      </c>
      <c r="BC6" s="535">
        <f>IF('ปฏิทิน'!BC1="","",DAY('ปฏิทิน'!BC1))</f>
        <v/>
      </c>
      <c r="BD6" s="535">
        <f>IF('ปฏิทิน'!BD1="","",DAY('ปฏิทิน'!BD1))</f>
        <v/>
      </c>
      <c r="BE6" s="535">
        <f>IF('ปฏิทิน'!BE1="","",DAY('ปฏิทิน'!BE1))</f>
        <v/>
      </c>
      <c r="BF6" s="535">
        <f>IF('ปฏิทิน'!BF1="","",DAY('ปฏิทิน'!BF1))</f>
        <v/>
      </c>
      <c r="BG6" s="535">
        <f>IF('ปฏิทิน'!BG1="","",DAY('ปฏิทิน'!BG1))</f>
        <v/>
      </c>
      <c r="BH6" s="535">
        <f>IF('ปฏิทิน'!BH1="","",DAY('ปฏิทิน'!BH1))</f>
        <v/>
      </c>
      <c r="BI6" s="535">
        <f>IF('ปฏิทิน'!BI1="","",DAY('ปฏิทิน'!BI1))</f>
        <v/>
      </c>
      <c r="BJ6" s="535">
        <f>IF('ปฏิทิน'!BJ1="","",DAY('ปฏิทิน'!BJ1))</f>
        <v/>
      </c>
      <c r="BK6" s="535">
        <f>IF('ปฏิทิน'!BK1="","",DAY('ปฏิทิน'!BK1))</f>
        <v/>
      </c>
      <c r="BL6" s="535">
        <f>IF('ปฏิทิน'!BL1="","",DAY('ปฏิทิน'!BL1))</f>
        <v/>
      </c>
      <c r="BM6" s="535">
        <f>IF('ปฏิทิน'!BM1="","",DAY('ปฏิทิน'!BM1))</f>
        <v/>
      </c>
      <c r="BN6" s="535">
        <f>IF('ปฏิทิน'!BN1="","",DAY('ปฏิทิน'!BN1))</f>
        <v/>
      </c>
      <c r="BO6" s="535">
        <f>IF('ปฏิทิน'!BO1="","",DAY('ปฏิทิน'!BO1))</f>
        <v/>
      </c>
      <c r="BP6" s="535">
        <f>IF('ปฏิทิน'!BP1="","",DAY('ปฏิทิน'!BP1))</f>
        <v/>
      </c>
      <c r="BQ6" s="539" t="inlineStr">
        <is>
          <t>หลับ</t>
        </is>
      </c>
      <c r="BR6" s="540" t="inlineStr">
        <is>
          <t>พัก</t>
        </is>
      </c>
      <c r="BS6" s="541" t="inlineStr">
        <is>
          <t>ไม่
นอน</t>
        </is>
      </c>
      <c r="BT6" s="538">
        <f>IF('ปฏิทิน'!BT1="","",DAY('ปฏิทิน'!BT1))</f>
        <v/>
      </c>
      <c r="BU6" s="535">
        <f>IF('ปฏิทิน'!BU1="","",DAY('ปฏิทิน'!BU1))</f>
        <v/>
      </c>
      <c r="BV6" s="535">
        <f>IF('ปฏิทิน'!BV1="","",DAY('ปฏิทิน'!BV1))</f>
        <v/>
      </c>
      <c r="BW6" s="535">
        <f>IF('ปฏิทิน'!BW1="","",DAY('ปฏิทิน'!BW1))</f>
        <v/>
      </c>
      <c r="BX6" s="535">
        <f>IF('ปฏิทิน'!BX1="","",DAY('ปฏิทิน'!BX1))</f>
        <v/>
      </c>
      <c r="BY6" s="535">
        <f>IF('ปฏิทิน'!BY1="","",DAY('ปฏิทิน'!BY1))</f>
        <v/>
      </c>
      <c r="BZ6" s="535">
        <f>IF('ปฏิทิน'!BZ1="","",DAY('ปฏิทิน'!BZ1))</f>
        <v/>
      </c>
      <c r="CA6" s="535">
        <f>IF('ปฏิทิน'!CA1="","",DAY('ปฏิทิน'!CA1))</f>
        <v/>
      </c>
      <c r="CB6" s="535">
        <f>IF('ปฏิทิน'!CB1="","",DAY('ปฏิทิน'!CB1))</f>
        <v/>
      </c>
      <c r="CC6" s="535">
        <f>IF('ปฏิทิน'!CC1="","",DAY('ปฏิทิน'!CC1))</f>
        <v/>
      </c>
      <c r="CD6" s="535">
        <f>IF('ปฏิทิน'!CD1="","",DAY('ปฏิทิน'!CD1))</f>
        <v/>
      </c>
      <c r="CE6" s="535">
        <f>IF('ปฏิทิน'!CE1="","",DAY('ปฏิทิน'!CE1))</f>
        <v/>
      </c>
      <c r="CF6" s="535">
        <f>IF('ปฏิทิน'!CF1="","",DAY('ปฏิทิน'!CF1))</f>
        <v/>
      </c>
      <c r="CG6" s="535">
        <f>IF('ปฏิทิน'!CG1="","",DAY('ปฏิทิน'!CG1))</f>
        <v/>
      </c>
      <c r="CH6" s="535">
        <f>IF('ปฏิทิน'!CH1="","",DAY('ปฏิทิน'!CH1))</f>
        <v/>
      </c>
      <c r="CI6" s="535">
        <f>IF('ปฏิทิน'!CI1="","",DAY('ปฏิทิน'!CI1))</f>
        <v/>
      </c>
      <c r="CJ6" s="535">
        <f>IF('ปฏิทิน'!CJ1="","",DAY('ปฏิทิน'!CJ1))</f>
        <v/>
      </c>
      <c r="CK6" s="535">
        <f>IF('ปฏิทิน'!CK1="","",DAY('ปฏิทิน'!CK1))</f>
        <v/>
      </c>
      <c r="CL6" s="535">
        <f>IF('ปฏิทิน'!CL1="","",DAY('ปฏิทิน'!CL1))</f>
        <v/>
      </c>
      <c r="CM6" s="535">
        <f>IF('ปฏิทิน'!CM1="","",DAY('ปฏิทิน'!CM1))</f>
        <v/>
      </c>
      <c r="CN6" s="535">
        <f>IF('ปฏิทิน'!CN1="","",DAY('ปฏิทิน'!CN1))</f>
        <v/>
      </c>
      <c r="CO6" s="535">
        <f>IF('ปฏิทิน'!CO1="","",DAY('ปฏิทิน'!CO1))</f>
        <v/>
      </c>
      <c r="CP6" s="535">
        <f>IF('ปฏิทิน'!CP1="","",DAY('ปฏิทิน'!CP1))</f>
        <v/>
      </c>
      <c r="CQ6" s="535">
        <f>IF('ปฏิทิน'!CQ1="","",DAY('ปฏิทิน'!CQ1))</f>
        <v/>
      </c>
      <c r="CR6" s="535">
        <f>IF('ปฏิทิน'!CR1="","",DAY('ปฏิทิน'!CR1))</f>
        <v/>
      </c>
      <c r="CS6" s="535">
        <f>IF('ปฏิทิน'!CS1="","",DAY('ปฏิทิน'!CS1))</f>
        <v/>
      </c>
      <c r="CT6" s="535">
        <f>IF('ปฏิทิน'!CT1="","",DAY('ปฏิทิน'!CT1))</f>
        <v/>
      </c>
      <c r="CU6" s="535">
        <f>IF('ปฏิทิน'!CU1="","",DAY('ปฏิทิน'!CU1))</f>
        <v/>
      </c>
      <c r="CV6" s="535">
        <f>IF('ปฏิทิน'!CV1="","",DAY('ปฏิทิน'!CV1))</f>
        <v/>
      </c>
      <c r="CW6" s="535">
        <f>IF('ปฏิทิน'!CW1="","",DAY('ปฏิทิน'!CW1))</f>
        <v/>
      </c>
      <c r="CX6" s="535">
        <f>IF('ปฏิทิน'!CX1="","",DAY('ปฏิทิน'!CX1))</f>
        <v/>
      </c>
      <c r="CY6" s="539" t="inlineStr">
        <is>
          <t>หลับ</t>
        </is>
      </c>
      <c r="CZ6" s="540" t="inlineStr">
        <is>
          <t>พัก</t>
        </is>
      </c>
      <c r="DA6" s="541" t="inlineStr">
        <is>
          <t>ไม่
นอน</t>
        </is>
      </c>
      <c r="DB6" s="538">
        <f>IF('ปฏิทิน'!DB1="","",DAY('ปฏิทิน'!DB1))</f>
        <v/>
      </c>
      <c r="DC6" s="535">
        <f>IF('ปฏิทิน'!DC1="","",DAY('ปฏิทิน'!DC1))</f>
        <v/>
      </c>
      <c r="DD6" s="535">
        <f>IF('ปฏิทิน'!DD1="","",DAY('ปฏิทิน'!DD1))</f>
        <v/>
      </c>
      <c r="DE6" s="535">
        <f>IF('ปฏิทิน'!DE1="","",DAY('ปฏิทิน'!DE1))</f>
        <v/>
      </c>
      <c r="DF6" s="535">
        <f>IF('ปฏิทิน'!DF1="","",DAY('ปฏิทิน'!DF1))</f>
        <v/>
      </c>
      <c r="DG6" s="535">
        <f>IF('ปฏิทิน'!DG1="","",DAY('ปฏิทิน'!DG1))</f>
        <v/>
      </c>
      <c r="DH6" s="535">
        <f>IF('ปฏิทิน'!DH1="","",DAY('ปฏิทิน'!DH1))</f>
        <v/>
      </c>
      <c r="DI6" s="535">
        <f>IF('ปฏิทิน'!DI1="","",DAY('ปฏิทิน'!DI1))</f>
        <v/>
      </c>
      <c r="DJ6" s="535">
        <f>IF('ปฏิทิน'!DJ1="","",DAY('ปฏิทิน'!DJ1))</f>
        <v/>
      </c>
      <c r="DK6" s="535">
        <f>IF('ปฏิทิน'!DK1="","",DAY('ปฏิทิน'!DK1))</f>
        <v/>
      </c>
      <c r="DL6" s="535">
        <f>IF('ปฏิทิน'!DL1="","",DAY('ปฏิทิน'!DL1))</f>
        <v/>
      </c>
      <c r="DM6" s="535">
        <f>IF('ปฏิทิน'!DM1="","",DAY('ปฏิทิน'!DM1))</f>
        <v/>
      </c>
      <c r="DN6" s="535">
        <f>IF('ปฏิทิน'!DN1="","",DAY('ปฏิทิน'!DN1))</f>
        <v/>
      </c>
      <c r="DO6" s="535">
        <f>IF('ปฏิทิน'!DO1="","",DAY('ปฏิทิน'!DO1))</f>
        <v/>
      </c>
      <c r="DP6" s="535">
        <f>IF('ปฏิทิน'!DP1="","",DAY('ปฏิทิน'!DP1))</f>
        <v/>
      </c>
      <c r="DQ6" s="535">
        <f>IF('ปฏิทิน'!DQ1="","",DAY('ปฏิทิน'!DQ1))</f>
        <v/>
      </c>
      <c r="DR6" s="535">
        <f>IF('ปฏิทิน'!DR1="","",DAY('ปฏิทิน'!DR1))</f>
        <v/>
      </c>
      <c r="DS6" s="535">
        <f>IF('ปฏิทิน'!DS1="","",DAY('ปฏิทิน'!DS1))</f>
        <v/>
      </c>
      <c r="DT6" s="535">
        <f>IF('ปฏิทิน'!DT1="","",DAY('ปฏิทิน'!DT1))</f>
        <v/>
      </c>
      <c r="DU6" s="535">
        <f>IF('ปฏิทิน'!DU1="","",DAY('ปฏิทิน'!DU1))</f>
        <v/>
      </c>
      <c r="DV6" s="535">
        <f>IF('ปฏิทิน'!DV1="","",DAY('ปฏิทิน'!DV1))</f>
        <v/>
      </c>
      <c r="DW6" s="535">
        <f>IF('ปฏิทิน'!DW1="","",DAY('ปฏิทิน'!DW1))</f>
        <v/>
      </c>
      <c r="DX6" s="535">
        <f>IF('ปฏิทิน'!DX1="","",DAY('ปฏิทิน'!DX1))</f>
        <v/>
      </c>
      <c r="DY6" s="535">
        <f>IF('ปฏิทิน'!DY1="","",DAY('ปฏิทิน'!DY1))</f>
        <v/>
      </c>
      <c r="DZ6" s="535">
        <f>IF('ปฏิทิน'!DZ1="","",DAY('ปฏิทิน'!DZ1))</f>
        <v/>
      </c>
      <c r="EA6" s="535">
        <f>IF('ปฏิทิน'!EA1="","",DAY('ปฏิทิน'!EA1))</f>
        <v/>
      </c>
      <c r="EB6" s="535">
        <f>IF('ปฏิทิน'!EB1="","",DAY('ปฏิทิน'!EB1))</f>
        <v/>
      </c>
      <c r="EC6" s="535">
        <f>IF('ปฏิทิน'!EC1="","",DAY('ปฏิทิน'!EC1))</f>
        <v/>
      </c>
      <c r="ED6" s="535">
        <f>IF('ปฏิทิน'!ED1="","",DAY('ปฏิทิน'!ED1))</f>
        <v/>
      </c>
      <c r="EE6" s="535">
        <f>IF('ปฏิทิน'!EE1="","",DAY('ปฏิทิน'!EE1))</f>
        <v/>
      </c>
      <c r="EF6" s="535">
        <f>IF('ปฏิทิน'!EF1="","",DAY('ปฏิทิน'!EF1))</f>
        <v/>
      </c>
      <c r="EG6" s="539" t="inlineStr">
        <is>
          <t>หลับ</t>
        </is>
      </c>
      <c r="EH6" s="540" t="inlineStr">
        <is>
          <t>พัก</t>
        </is>
      </c>
      <c r="EI6" s="541" t="inlineStr">
        <is>
          <t>ไม่
นอน</t>
        </is>
      </c>
      <c r="EJ6" s="538">
        <f>IF('ปฏิทิน'!EJ1="","",DAY('ปฏิทิน'!EJ1))</f>
        <v/>
      </c>
      <c r="EK6" s="535">
        <f>IF('ปฏิทิน'!EK1="","",DAY('ปฏิทิน'!EK1))</f>
        <v/>
      </c>
      <c r="EL6" s="535">
        <f>IF('ปฏิทิน'!EL1="","",DAY('ปฏิทิน'!EL1))</f>
        <v/>
      </c>
      <c r="EM6" s="535">
        <f>IF('ปฏิทิน'!EM1="","",DAY('ปฏิทิน'!EM1))</f>
        <v/>
      </c>
      <c r="EN6" s="535">
        <f>IF('ปฏิทิน'!EN1="","",DAY('ปฏิทิน'!EN1))</f>
        <v/>
      </c>
      <c r="EO6" s="535">
        <f>IF('ปฏิทิน'!EO1="","",DAY('ปฏิทิน'!EO1))</f>
        <v/>
      </c>
      <c r="EP6" s="535">
        <f>IF('ปฏิทิน'!EP1="","",DAY('ปฏิทิน'!EP1))</f>
        <v/>
      </c>
      <c r="EQ6" s="535">
        <f>IF('ปฏิทิน'!EQ1="","",DAY('ปฏิทิน'!EQ1))</f>
        <v/>
      </c>
      <c r="ER6" s="535">
        <f>IF('ปฏิทิน'!ER1="","",DAY('ปฏิทิน'!ER1))</f>
        <v/>
      </c>
      <c r="ES6" s="535">
        <f>IF('ปฏิทิน'!ES1="","",DAY('ปฏิทิน'!ES1))</f>
        <v/>
      </c>
      <c r="ET6" s="535">
        <f>IF('ปฏิทิน'!ET1="","",DAY('ปฏิทิน'!ET1))</f>
        <v/>
      </c>
      <c r="EU6" s="535">
        <f>IF('ปฏิทิน'!EU1="","",DAY('ปฏิทิน'!EU1))</f>
        <v/>
      </c>
      <c r="EV6" s="535">
        <f>IF('ปฏิทิน'!EV1="","",DAY('ปฏิทิน'!EV1))</f>
        <v/>
      </c>
      <c r="EW6" s="535">
        <f>IF('ปฏิทิน'!EW1="","",DAY('ปฏิทิน'!EW1))</f>
        <v/>
      </c>
      <c r="EX6" s="535">
        <f>IF('ปฏิทิน'!EX1="","",DAY('ปฏิทิน'!EX1))</f>
        <v/>
      </c>
      <c r="EY6" s="535">
        <f>IF('ปฏิทิน'!EY1="","",DAY('ปฏิทิน'!EY1))</f>
        <v/>
      </c>
      <c r="EZ6" s="535">
        <f>IF('ปฏิทิน'!EZ1="","",DAY('ปฏิทิน'!EZ1))</f>
        <v/>
      </c>
      <c r="FA6" s="535">
        <f>IF('ปฏิทิน'!FA1="","",DAY('ปฏิทิน'!FA1))</f>
        <v/>
      </c>
      <c r="FB6" s="535">
        <f>IF('ปฏิทิน'!FB1="","",DAY('ปฏิทิน'!FB1))</f>
        <v/>
      </c>
      <c r="FC6" s="535">
        <f>IF('ปฏิทิน'!FC1="","",DAY('ปฏิทิน'!FC1))</f>
        <v/>
      </c>
      <c r="FD6" s="535">
        <f>IF('ปฏิทิน'!FD1="","",DAY('ปฏิทิน'!FD1))</f>
        <v/>
      </c>
      <c r="FE6" s="535">
        <f>IF('ปฏิทิน'!FE1="","",DAY('ปฏิทิน'!FE1))</f>
        <v/>
      </c>
      <c r="FF6" s="535">
        <f>IF('ปฏิทิน'!FF1="","",DAY('ปฏิทิน'!FF1))</f>
        <v/>
      </c>
      <c r="FG6" s="535">
        <f>IF('ปฏิทิน'!FG1="","",DAY('ปฏิทิน'!FG1))</f>
        <v/>
      </c>
      <c r="FH6" s="535">
        <f>IF('ปฏิทิน'!FH1="","",DAY('ปฏิทิน'!FH1))</f>
        <v/>
      </c>
      <c r="FI6" s="535">
        <f>IF('ปฏิทิน'!FI1="","",DAY('ปฏิทิน'!FI1))</f>
        <v/>
      </c>
      <c r="FJ6" s="535">
        <f>IF('ปฏิทิน'!FJ1="","",DAY('ปฏิทิน'!FJ1))</f>
        <v/>
      </c>
      <c r="FK6" s="535">
        <f>IF('ปฏิทิน'!FK1="","",DAY('ปฏิทิน'!FK1))</f>
        <v/>
      </c>
      <c r="FL6" s="535">
        <f>IF('ปฏิทิน'!FL1="","",DAY('ปฏิทิน'!FL1))</f>
        <v/>
      </c>
      <c r="FM6" s="535">
        <f>IF('ปฏิทิน'!FM1="","",DAY('ปฏิทิน'!FM1))</f>
        <v/>
      </c>
      <c r="FN6" s="535">
        <f>IF('ปฏิทิน'!FN1="","",DAY('ปฏิทิน'!FN1))</f>
        <v/>
      </c>
      <c r="FO6" s="539" t="inlineStr">
        <is>
          <t>หลับ</t>
        </is>
      </c>
      <c r="FP6" s="540" t="inlineStr">
        <is>
          <t>พัก</t>
        </is>
      </c>
      <c r="FQ6" s="541" t="inlineStr">
        <is>
          <t>ไม่
นอน</t>
        </is>
      </c>
      <c r="FR6" s="538">
        <f>IF('ปฏิทิน'!FR1="","",DAY('ปฏิทิน'!FR1))</f>
        <v/>
      </c>
      <c r="FS6" s="535">
        <f>IF('ปฏิทิน'!FS1="","",DAY('ปฏิทิน'!FS1))</f>
        <v/>
      </c>
      <c r="FT6" s="535">
        <f>IF('ปฏิทิน'!FT1="","",DAY('ปฏิทิน'!FT1))</f>
        <v/>
      </c>
      <c r="FU6" s="535">
        <f>IF('ปฏิทิน'!FU1="","",DAY('ปฏิทิน'!FU1))</f>
        <v/>
      </c>
      <c r="FV6" s="535">
        <f>IF('ปฏิทิน'!FV1="","",DAY('ปฏิทิน'!FV1))</f>
        <v/>
      </c>
      <c r="FW6" s="535">
        <f>IF('ปฏิทิน'!FW1="","",DAY('ปฏิทิน'!FW1))</f>
        <v/>
      </c>
      <c r="FX6" s="535">
        <f>IF('ปฏิทิน'!FX1="","",DAY('ปฏิทิน'!FX1))</f>
        <v/>
      </c>
      <c r="FY6" s="535">
        <f>IF('ปฏิทิน'!FY1="","",DAY('ปฏิทิน'!FY1))</f>
        <v/>
      </c>
      <c r="FZ6" s="535">
        <f>IF('ปฏิทิน'!FZ1="","",DAY('ปฏิทิน'!FZ1))</f>
        <v/>
      </c>
      <c r="GA6" s="535">
        <f>IF('ปฏิทิน'!GA1="","",DAY('ปฏิทิน'!GA1))</f>
        <v/>
      </c>
      <c r="GB6" s="535">
        <f>IF('ปฏิทิน'!GB1="","",DAY('ปฏิทิน'!GB1))</f>
        <v/>
      </c>
      <c r="GC6" s="535">
        <f>IF('ปฏิทิน'!GC1="","",DAY('ปฏิทิน'!GC1))</f>
        <v/>
      </c>
      <c r="GD6" s="535">
        <f>IF('ปฏิทิน'!GD1="","",DAY('ปฏิทิน'!GD1))</f>
        <v/>
      </c>
      <c r="GE6" s="535">
        <f>IF('ปฏิทิน'!GE1="","",DAY('ปฏิทิน'!GE1))</f>
        <v/>
      </c>
      <c r="GF6" s="535">
        <f>IF('ปฏิทิน'!GF1="","",DAY('ปฏิทิน'!GF1))</f>
        <v/>
      </c>
      <c r="GG6" s="535">
        <f>IF('ปฏิทิน'!GG1="","",DAY('ปฏิทิน'!GG1))</f>
        <v/>
      </c>
      <c r="GH6" s="535">
        <f>IF('ปฏิทิน'!GH1="","",DAY('ปฏิทิน'!GH1))</f>
        <v/>
      </c>
      <c r="GI6" s="535">
        <f>IF('ปฏิทิน'!GI1="","",DAY('ปฏิทิน'!GI1))</f>
        <v/>
      </c>
      <c r="GJ6" s="535">
        <f>IF('ปฏิทิน'!GJ1="","",DAY('ปฏิทิน'!GJ1))</f>
        <v/>
      </c>
      <c r="GK6" s="535">
        <f>IF('ปฏิทิน'!GK1="","",DAY('ปฏิทิน'!GK1))</f>
        <v/>
      </c>
      <c r="GL6" s="535">
        <f>IF('ปฏิทิน'!GL1="","",DAY('ปฏิทิน'!GL1))</f>
        <v/>
      </c>
      <c r="GM6" s="535">
        <f>IF('ปฏิทิน'!GM1="","",DAY('ปฏิทิน'!GM1))</f>
        <v/>
      </c>
      <c r="GN6" s="535">
        <f>IF('ปฏิทิน'!GN1="","",DAY('ปฏิทิน'!GN1))</f>
        <v/>
      </c>
      <c r="GO6" s="535">
        <f>IF('ปฏิทิน'!GO1="","",DAY('ปฏิทิน'!GO1))</f>
        <v/>
      </c>
      <c r="GP6" s="535">
        <f>IF('ปฏิทิน'!GP1="","",DAY('ปฏิทิน'!GP1))</f>
        <v/>
      </c>
      <c r="GQ6" s="535">
        <f>IF('ปฏิทิน'!GQ1="","",DAY('ปฏิทิน'!GQ1))</f>
        <v/>
      </c>
      <c r="GR6" s="535">
        <f>IF('ปฏิทิน'!GR1="","",DAY('ปฏิทิน'!GR1))</f>
        <v/>
      </c>
      <c r="GS6" s="535">
        <f>IF('ปฏิทิน'!GS1="","",DAY('ปฏิทิน'!GS1))</f>
        <v/>
      </c>
      <c r="GT6" s="535">
        <f>IF('ปฏิทิน'!GT1="","",DAY('ปฏิทิน'!GT1))</f>
        <v/>
      </c>
      <c r="GU6" s="535">
        <f>IF('ปฏิทิน'!GU1="","",DAY('ปฏิทิน'!GU1))</f>
        <v/>
      </c>
      <c r="GV6" s="535">
        <f>IF('ปฏิทิน'!GV1="","",DAY('ปฏิทิน'!GV1))</f>
        <v/>
      </c>
      <c r="GW6" s="539" t="inlineStr">
        <is>
          <t>หลับ</t>
        </is>
      </c>
      <c r="GX6" s="540" t="inlineStr">
        <is>
          <t>พัก</t>
        </is>
      </c>
      <c r="GY6" s="541" t="inlineStr">
        <is>
          <t>ไม่
นอน</t>
        </is>
      </c>
    </row>
    <row r="7">
      <c r="D7" s="542">
        <f>IF('ปฏิทิน'!D1="","",CHOOSE(WEEKDAY('ปฏิทิน'!D1,2),"จ.","อ.","พ.","พฤ.","ศ.","ส.","อา."))</f>
        <v/>
      </c>
      <c r="E7" s="543">
        <f>IF('ปฏิทิน'!E1="","",CHOOSE(WEEKDAY('ปฏิทิน'!E1,2),"จ.","อ.","พ.","พฤ.","ศ.","ส.","อา."))</f>
        <v/>
      </c>
      <c r="F7" s="543">
        <f>IF('ปฏิทิน'!F1="","",CHOOSE(WEEKDAY('ปฏิทิน'!F1,2),"จ.","อ.","พ.","พฤ.","ศ.","ส.","อา."))</f>
        <v/>
      </c>
      <c r="G7" s="543">
        <f>IF('ปฏิทิน'!G1="","",CHOOSE(WEEKDAY('ปฏิทิน'!G1,2),"จ.","อ.","พ.","พฤ.","ศ.","ส.","อา."))</f>
        <v/>
      </c>
      <c r="H7" s="543">
        <f>IF('ปฏิทิน'!H1="","",CHOOSE(WEEKDAY('ปฏิทิน'!H1,2),"จ.","อ.","พ.","พฤ.","ศ.","ส.","อา."))</f>
        <v/>
      </c>
      <c r="I7" s="543">
        <f>IF('ปฏิทิน'!I1="","",CHOOSE(WEEKDAY('ปฏิทิน'!I1,2),"จ.","อ.","พ.","พฤ.","ศ.","ส.","อา."))</f>
        <v/>
      </c>
      <c r="J7" s="543">
        <f>IF('ปฏิทิน'!J1="","",CHOOSE(WEEKDAY('ปฏิทิน'!J1,2),"จ.","อ.","พ.","พฤ.","ศ.","ส.","อา."))</f>
        <v/>
      </c>
      <c r="K7" s="543">
        <f>IF('ปฏิทิน'!K1="","",CHOOSE(WEEKDAY('ปฏิทิน'!K1,2),"จ.","อ.","พ.","พฤ.","ศ.","ส.","อา."))</f>
        <v/>
      </c>
      <c r="L7" s="543">
        <f>IF('ปฏิทิน'!L1="","",CHOOSE(WEEKDAY('ปฏิทิน'!L1,2),"จ.","อ.","พ.","พฤ.","ศ.","ส.","อา."))</f>
        <v/>
      </c>
      <c r="M7" s="543">
        <f>IF('ปฏิทิน'!M1="","",CHOOSE(WEEKDAY('ปฏิทิน'!M1,2),"จ.","อ.","พ.","พฤ.","ศ.","ส.","อา."))</f>
        <v/>
      </c>
      <c r="N7" s="543">
        <f>IF('ปฏิทิน'!N1="","",CHOOSE(WEEKDAY('ปฏิทิน'!N1,2),"จ.","อ.","พ.","พฤ.","ศ.","ส.","อา."))</f>
        <v/>
      </c>
      <c r="O7" s="543">
        <f>IF('ปฏิทิน'!O1="","",CHOOSE(WEEKDAY('ปฏิทิน'!O1,2),"จ.","อ.","พ.","พฤ.","ศ.","ส.","อา."))</f>
        <v/>
      </c>
      <c r="P7" s="543">
        <f>IF('ปฏิทิน'!P1="","",CHOOSE(WEEKDAY('ปฏิทิน'!P1,2),"จ.","อ.","พ.","พฤ.","ศ.","ส.","อา."))</f>
        <v/>
      </c>
      <c r="Q7" s="543">
        <f>IF('ปฏิทิน'!Q1="","",CHOOSE(WEEKDAY('ปฏิทิน'!Q1,2),"จ.","อ.","พ.","พฤ.","ศ.","ส.","อา."))</f>
        <v/>
      </c>
      <c r="R7" s="543">
        <f>IF('ปฏิทิน'!R1="","",CHOOSE(WEEKDAY('ปฏิทิน'!R1,2),"จ.","อ.","พ.","พฤ.","ศ.","ส.","อา."))</f>
        <v/>
      </c>
      <c r="S7" s="543">
        <f>IF('ปฏิทิน'!S1="","",CHOOSE(WEEKDAY('ปฏิทิน'!S1,2),"จ.","อ.","พ.","พฤ.","ศ.","ส.","อา."))</f>
        <v/>
      </c>
      <c r="T7" s="543">
        <f>IF('ปฏิทิน'!T1="","",CHOOSE(WEEKDAY('ปฏิทิน'!T1,2),"จ.","อ.","พ.","พฤ.","ศ.","ส.","อา."))</f>
        <v/>
      </c>
      <c r="U7" s="543">
        <f>IF('ปฏิทิน'!U1="","",CHOOSE(WEEKDAY('ปฏิทิน'!U1,2),"จ.","อ.","พ.","พฤ.","ศ.","ส.","อา."))</f>
        <v/>
      </c>
      <c r="V7" s="543">
        <f>IF('ปฏิทิน'!V1="","",CHOOSE(WEEKDAY('ปฏิทิน'!V1,2),"จ.","อ.","พ.","พฤ.","ศ.","ส.","อา."))</f>
        <v/>
      </c>
      <c r="W7" s="543">
        <f>IF('ปฏิทิน'!W1="","",CHOOSE(WEEKDAY('ปฏิทิน'!W1,2),"จ.","อ.","พ.","พฤ.","ศ.","ส.","อา."))</f>
        <v/>
      </c>
      <c r="X7" s="543">
        <f>IF('ปฏิทิน'!X1="","",CHOOSE(WEEKDAY('ปฏิทิน'!X1,2),"จ.","อ.","พ.","พฤ.","ศ.","ส.","อา."))</f>
        <v/>
      </c>
      <c r="Y7" s="543">
        <f>IF('ปฏิทิน'!Y1="","",CHOOSE(WEEKDAY('ปฏิทิน'!Y1,2),"จ.","อ.","พ.","พฤ.","ศ.","ส.","อา."))</f>
        <v/>
      </c>
      <c r="Z7" s="543">
        <f>IF('ปฏิทิน'!Z1="","",CHOOSE(WEEKDAY('ปฏิทิน'!Z1,2),"จ.","อ.","พ.","พฤ.","ศ.","ส.","อา."))</f>
        <v/>
      </c>
      <c r="AA7" s="543">
        <f>IF('ปฏิทิน'!AA1="","",CHOOSE(WEEKDAY('ปฏิทิน'!AA1,2),"จ.","อ.","พ.","พฤ.","ศ.","ส.","อา."))</f>
        <v/>
      </c>
      <c r="AB7" s="543">
        <f>IF('ปฏิทิน'!AB1="","",CHOOSE(WEEKDAY('ปฏิทิน'!AB1,2),"จ.","อ.","พ.","พฤ.","ศ.","ส.","อา."))</f>
        <v/>
      </c>
      <c r="AC7" s="543">
        <f>IF('ปฏิทิน'!AC1="","",CHOOSE(WEEKDAY('ปฏิทิน'!AC1,2),"จ.","อ.","พ.","พฤ.","ศ.","ส.","อา."))</f>
        <v/>
      </c>
      <c r="AD7" s="543">
        <f>IF('ปฏิทิน'!AD1="","",CHOOSE(WEEKDAY('ปฏิทิน'!AD1,2),"จ.","อ.","พ.","พฤ.","ศ.","ส.","อา."))</f>
        <v/>
      </c>
      <c r="AE7" s="543">
        <f>IF('ปฏิทิน'!AE1="","",CHOOSE(WEEKDAY('ปฏิทิน'!AE1,2),"จ.","อ.","พ.","พฤ.","ศ.","ส.","อา."))</f>
        <v/>
      </c>
      <c r="AF7" s="543">
        <f>IF('ปฏิทิน'!AF1="","",CHOOSE(WEEKDAY('ปฏิทิน'!AF1,2),"จ.","อ.","พ.","พฤ.","ศ.","ส.","อา."))</f>
        <v/>
      </c>
      <c r="AG7" s="543">
        <f>IF('ปฏิทิน'!AG1="","",CHOOSE(WEEKDAY('ปฏิทิน'!AG1,2),"จ.","อ.","พ.","พฤ.","ศ.","ส.","อา."))</f>
        <v/>
      </c>
      <c r="AH7" s="543">
        <f>IF('ปฏิทิน'!AH1="","",CHOOSE(WEEKDAY('ปฏิทิน'!AH1,2),"จ.","อ.","พ.","พฤ.","ศ.","ส.","อา."))</f>
        <v/>
      </c>
      <c r="AI7" s="544" t="n"/>
      <c r="AL7" s="542">
        <f>IF('ปฏิทิน'!AL1="","",CHOOSE(WEEKDAY('ปฏิทิน'!AL1,2),"จ.","อ.","พ.","พฤ.","ศ.","ส.","อา."))</f>
        <v/>
      </c>
      <c r="AM7" s="543">
        <f>IF('ปฏิทิน'!AM1="","",CHOOSE(WEEKDAY('ปฏิทิน'!AM1,2),"จ.","อ.","พ.","พฤ.","ศ.","ส.","อา."))</f>
        <v/>
      </c>
      <c r="AN7" s="543">
        <f>IF('ปฏิทิน'!AN1="","",CHOOSE(WEEKDAY('ปฏิทิน'!AN1,2),"จ.","อ.","พ.","พฤ.","ศ.","ส.","อา."))</f>
        <v/>
      </c>
      <c r="AO7" s="543">
        <f>IF('ปฏิทิน'!AO1="","",CHOOSE(WEEKDAY('ปฏิทิน'!AO1,2),"จ.","อ.","พ.","พฤ.","ศ.","ส.","อา."))</f>
        <v/>
      </c>
      <c r="AP7" s="543">
        <f>IF('ปฏิทิน'!AP1="","",CHOOSE(WEEKDAY('ปฏิทิน'!AP1,2),"จ.","อ.","พ.","พฤ.","ศ.","ส.","อา."))</f>
        <v/>
      </c>
      <c r="AQ7" s="543">
        <f>IF('ปฏิทิน'!AQ1="","",CHOOSE(WEEKDAY('ปฏิทิน'!AQ1,2),"จ.","อ.","พ.","พฤ.","ศ.","ส.","อา."))</f>
        <v/>
      </c>
      <c r="AR7" s="543">
        <f>IF('ปฏิทิน'!AR1="","",CHOOSE(WEEKDAY('ปฏิทิน'!AR1,2),"จ.","อ.","พ.","พฤ.","ศ.","ส.","อา."))</f>
        <v/>
      </c>
      <c r="AS7" s="543">
        <f>IF('ปฏิทิน'!AS1="","",CHOOSE(WEEKDAY('ปฏิทิน'!AS1,2),"จ.","อ.","พ.","พฤ.","ศ.","ส.","อา."))</f>
        <v/>
      </c>
      <c r="AT7" s="543">
        <f>IF('ปฏิทิน'!AT1="","",CHOOSE(WEEKDAY('ปฏิทิน'!AT1,2),"จ.","อ.","พ.","พฤ.","ศ.","ส.","อา."))</f>
        <v/>
      </c>
      <c r="AU7" s="543">
        <f>IF('ปฏิทิน'!AU1="","",CHOOSE(WEEKDAY('ปฏิทิน'!AU1,2),"จ.","อ.","พ.","พฤ.","ศ.","ส.","อา."))</f>
        <v/>
      </c>
      <c r="AV7" s="543">
        <f>IF('ปฏิทิน'!AV1="","",CHOOSE(WEEKDAY('ปฏิทิน'!AV1,2),"จ.","อ.","พ.","พฤ.","ศ.","ส.","อา."))</f>
        <v/>
      </c>
      <c r="AW7" s="543">
        <f>IF('ปฏิทิน'!AW1="","",CHOOSE(WEEKDAY('ปฏิทิน'!AW1,2),"จ.","อ.","พ.","พฤ.","ศ.","ส.","อา."))</f>
        <v/>
      </c>
      <c r="AX7" s="543">
        <f>IF('ปฏิทิน'!AX1="","",CHOOSE(WEEKDAY('ปฏิทิน'!AX1,2),"จ.","อ.","พ.","พฤ.","ศ.","ส.","อา."))</f>
        <v/>
      </c>
      <c r="AY7" s="543">
        <f>IF('ปฏิทิน'!AY1="","",CHOOSE(WEEKDAY('ปฏิทิน'!AY1,2),"จ.","อ.","พ.","พฤ.","ศ.","ส.","อา."))</f>
        <v/>
      </c>
      <c r="AZ7" s="543">
        <f>IF('ปฏิทิน'!AZ1="","",CHOOSE(WEEKDAY('ปฏิทิน'!AZ1,2),"จ.","อ.","พ.","พฤ.","ศ.","ส.","อา."))</f>
        <v/>
      </c>
      <c r="BA7" s="543">
        <f>IF('ปฏิทิน'!BA1="","",CHOOSE(WEEKDAY('ปฏิทิน'!BA1,2),"จ.","อ.","พ.","พฤ.","ศ.","ส.","อา."))</f>
        <v/>
      </c>
      <c r="BB7" s="543">
        <f>IF('ปฏิทิน'!BB1="","",CHOOSE(WEEKDAY('ปฏิทิน'!BB1,2),"จ.","อ.","พ.","พฤ.","ศ.","ส.","อา."))</f>
        <v/>
      </c>
      <c r="BC7" s="543">
        <f>IF('ปฏิทิน'!BC1="","",CHOOSE(WEEKDAY('ปฏิทิน'!BC1,2),"จ.","อ.","พ.","พฤ.","ศ.","ส.","อา."))</f>
        <v/>
      </c>
      <c r="BD7" s="543">
        <f>IF('ปฏิทิน'!BD1="","",CHOOSE(WEEKDAY('ปฏิทิน'!BD1,2),"จ.","อ.","พ.","พฤ.","ศ.","ส.","อา."))</f>
        <v/>
      </c>
      <c r="BE7" s="543">
        <f>IF('ปฏิทิน'!BE1="","",CHOOSE(WEEKDAY('ปฏิทิน'!BE1,2),"จ.","อ.","พ.","พฤ.","ศ.","ส.","อา."))</f>
        <v/>
      </c>
      <c r="BF7" s="543">
        <f>IF('ปฏิทิน'!BF1="","",CHOOSE(WEEKDAY('ปฏิทิน'!BF1,2),"จ.","อ.","พ.","พฤ.","ศ.","ส.","อา."))</f>
        <v/>
      </c>
      <c r="BG7" s="543">
        <f>IF('ปฏิทิน'!BG1="","",CHOOSE(WEEKDAY('ปฏิทิน'!BG1,2),"จ.","อ.","พ.","พฤ.","ศ.","ส.","อา."))</f>
        <v/>
      </c>
      <c r="BH7" s="543">
        <f>IF('ปฏิทิน'!BH1="","",CHOOSE(WEEKDAY('ปฏิทิน'!BH1,2),"จ.","อ.","พ.","พฤ.","ศ.","ส.","อา."))</f>
        <v/>
      </c>
      <c r="BI7" s="543">
        <f>IF('ปฏิทิน'!BI1="","",CHOOSE(WEEKDAY('ปฏิทิน'!BI1,2),"จ.","อ.","พ.","พฤ.","ศ.","ส.","อา."))</f>
        <v/>
      </c>
      <c r="BJ7" s="543">
        <f>IF('ปฏิทิน'!BJ1="","",CHOOSE(WEEKDAY('ปฏิทิน'!BJ1,2),"จ.","อ.","พ.","พฤ.","ศ.","ส.","อา."))</f>
        <v/>
      </c>
      <c r="BK7" s="543">
        <f>IF('ปฏิทิน'!BK1="","",CHOOSE(WEEKDAY('ปฏิทิน'!BK1,2),"จ.","อ.","พ.","พฤ.","ศ.","ส.","อา."))</f>
        <v/>
      </c>
      <c r="BL7" s="543">
        <f>IF('ปฏิทิน'!BL1="","",CHOOSE(WEEKDAY('ปฏิทิน'!BL1,2),"จ.","อ.","พ.","พฤ.","ศ.","ส.","อา."))</f>
        <v/>
      </c>
      <c r="BM7" s="543">
        <f>IF('ปฏิทิน'!BM1="","",CHOOSE(WEEKDAY('ปฏิทิน'!BM1,2),"จ.","อ.","พ.","พฤ.","ศ.","ส.","อา."))</f>
        <v/>
      </c>
      <c r="BN7" s="543">
        <f>IF('ปฏิทิน'!BN1="","",CHOOSE(WEEKDAY('ปฏิทิน'!BN1,2),"จ.","อ.","พ.","พฤ.","ศ.","ส.","อา."))</f>
        <v/>
      </c>
      <c r="BO7" s="543">
        <f>IF('ปฏิทิน'!BO1="","",CHOOSE(WEEKDAY('ปฏิทิน'!BO1,2),"จ.","อ.","พ.","พฤ.","ศ.","ส.","อา."))</f>
        <v/>
      </c>
      <c r="BP7" s="543">
        <f>IF('ปฏิทิน'!BP1="","",CHOOSE(WEEKDAY('ปฏิทิน'!BP1,2),"จ.","อ.","พ.","พฤ.","ศ.","ส.","อา."))</f>
        <v/>
      </c>
      <c r="BQ7" s="544" t="n"/>
      <c r="BT7" s="542">
        <f>IF('ปฏิทิน'!BT1="","",CHOOSE(WEEKDAY('ปฏิทิน'!BT1,2),"จ.","อ.","พ.","พฤ.","ศ.","ส.","อา."))</f>
        <v/>
      </c>
      <c r="BU7" s="543">
        <f>IF('ปฏิทิน'!BU1="","",CHOOSE(WEEKDAY('ปฏิทิน'!BU1,2),"จ.","อ.","พ.","พฤ.","ศ.","ส.","อา."))</f>
        <v/>
      </c>
      <c r="BV7" s="543">
        <f>IF('ปฏิทิน'!BV1="","",CHOOSE(WEEKDAY('ปฏิทิน'!BV1,2),"จ.","อ.","พ.","พฤ.","ศ.","ส.","อา."))</f>
        <v/>
      </c>
      <c r="BW7" s="543">
        <f>IF('ปฏิทิน'!BW1="","",CHOOSE(WEEKDAY('ปฏิทิน'!BW1,2),"จ.","อ.","พ.","พฤ.","ศ.","ส.","อา."))</f>
        <v/>
      </c>
      <c r="BX7" s="543">
        <f>IF('ปฏิทิน'!BX1="","",CHOOSE(WEEKDAY('ปฏิทิน'!BX1,2),"จ.","อ.","พ.","พฤ.","ศ.","ส.","อา."))</f>
        <v/>
      </c>
      <c r="BY7" s="543">
        <f>IF('ปฏิทิน'!BY1="","",CHOOSE(WEEKDAY('ปฏิทิน'!BY1,2),"จ.","อ.","พ.","พฤ.","ศ.","ส.","อา."))</f>
        <v/>
      </c>
      <c r="BZ7" s="543">
        <f>IF('ปฏิทิน'!BZ1="","",CHOOSE(WEEKDAY('ปฏิทิน'!BZ1,2),"จ.","อ.","พ.","พฤ.","ศ.","ส.","อา."))</f>
        <v/>
      </c>
      <c r="CA7" s="543">
        <f>IF('ปฏิทิน'!CA1="","",CHOOSE(WEEKDAY('ปฏิทิน'!CA1,2),"จ.","อ.","พ.","พฤ.","ศ.","ส.","อา."))</f>
        <v/>
      </c>
      <c r="CB7" s="543">
        <f>IF('ปฏิทิน'!CB1="","",CHOOSE(WEEKDAY('ปฏิทิน'!CB1,2),"จ.","อ.","พ.","พฤ.","ศ.","ส.","อา."))</f>
        <v/>
      </c>
      <c r="CC7" s="543">
        <f>IF('ปฏิทิน'!CC1="","",CHOOSE(WEEKDAY('ปฏิทิน'!CC1,2),"จ.","อ.","พ.","พฤ.","ศ.","ส.","อา."))</f>
        <v/>
      </c>
      <c r="CD7" s="543">
        <f>IF('ปฏิทิน'!CD1="","",CHOOSE(WEEKDAY('ปฏิทิน'!CD1,2),"จ.","อ.","พ.","พฤ.","ศ.","ส.","อา."))</f>
        <v/>
      </c>
      <c r="CE7" s="543">
        <f>IF('ปฏิทิน'!CE1="","",CHOOSE(WEEKDAY('ปฏิทิน'!CE1,2),"จ.","อ.","พ.","พฤ.","ศ.","ส.","อา."))</f>
        <v/>
      </c>
      <c r="CF7" s="543">
        <f>IF('ปฏิทิน'!CF1="","",CHOOSE(WEEKDAY('ปฏิทิน'!CF1,2),"จ.","อ.","พ.","พฤ.","ศ.","ส.","อา."))</f>
        <v/>
      </c>
      <c r="CG7" s="543">
        <f>IF('ปฏิทิน'!CG1="","",CHOOSE(WEEKDAY('ปฏิทิน'!CG1,2),"จ.","อ.","พ.","พฤ.","ศ.","ส.","อา."))</f>
        <v/>
      </c>
      <c r="CH7" s="543">
        <f>IF('ปฏิทิน'!CH1="","",CHOOSE(WEEKDAY('ปฏิทิน'!CH1,2),"จ.","อ.","พ.","พฤ.","ศ.","ส.","อา."))</f>
        <v/>
      </c>
      <c r="CI7" s="543">
        <f>IF('ปฏิทิน'!CI1="","",CHOOSE(WEEKDAY('ปฏิทิน'!CI1,2),"จ.","อ.","พ.","พฤ.","ศ.","ส.","อา."))</f>
        <v/>
      </c>
      <c r="CJ7" s="543">
        <f>IF('ปฏิทิน'!CJ1="","",CHOOSE(WEEKDAY('ปฏิทิน'!CJ1,2),"จ.","อ.","พ.","พฤ.","ศ.","ส.","อา."))</f>
        <v/>
      </c>
      <c r="CK7" s="543">
        <f>IF('ปฏิทิน'!CK1="","",CHOOSE(WEEKDAY('ปฏิทิน'!CK1,2),"จ.","อ.","พ.","พฤ.","ศ.","ส.","อา."))</f>
        <v/>
      </c>
      <c r="CL7" s="543">
        <f>IF('ปฏิทิน'!CL1="","",CHOOSE(WEEKDAY('ปฏิทิน'!CL1,2),"จ.","อ.","พ.","พฤ.","ศ.","ส.","อา."))</f>
        <v/>
      </c>
      <c r="CM7" s="543">
        <f>IF('ปฏิทิน'!CM1="","",CHOOSE(WEEKDAY('ปฏิทิน'!CM1,2),"จ.","อ.","พ.","พฤ.","ศ.","ส.","อา."))</f>
        <v/>
      </c>
      <c r="CN7" s="543">
        <f>IF('ปฏิทิน'!CN1="","",CHOOSE(WEEKDAY('ปฏิทิน'!CN1,2),"จ.","อ.","พ.","พฤ.","ศ.","ส.","อา."))</f>
        <v/>
      </c>
      <c r="CO7" s="543">
        <f>IF('ปฏิทิน'!CO1="","",CHOOSE(WEEKDAY('ปฏิทิน'!CO1,2),"จ.","อ.","พ.","พฤ.","ศ.","ส.","อา."))</f>
        <v/>
      </c>
      <c r="CP7" s="543">
        <f>IF('ปฏิทิน'!CP1="","",CHOOSE(WEEKDAY('ปฏิทิน'!CP1,2),"จ.","อ.","พ.","พฤ.","ศ.","ส.","อา."))</f>
        <v/>
      </c>
      <c r="CQ7" s="543">
        <f>IF('ปฏิทิน'!CQ1="","",CHOOSE(WEEKDAY('ปฏิทิน'!CQ1,2),"จ.","อ.","พ.","พฤ.","ศ.","ส.","อา."))</f>
        <v/>
      </c>
      <c r="CR7" s="543">
        <f>IF('ปฏิทิน'!CR1="","",CHOOSE(WEEKDAY('ปฏิทิน'!CR1,2),"จ.","อ.","พ.","พฤ.","ศ.","ส.","อา."))</f>
        <v/>
      </c>
      <c r="CS7" s="543">
        <f>IF('ปฏิทิน'!CS1="","",CHOOSE(WEEKDAY('ปฏิทิน'!CS1,2),"จ.","อ.","พ.","พฤ.","ศ.","ส.","อา."))</f>
        <v/>
      </c>
      <c r="CT7" s="543">
        <f>IF('ปฏิทิน'!CT1="","",CHOOSE(WEEKDAY('ปฏิทิน'!CT1,2),"จ.","อ.","พ.","พฤ.","ศ.","ส.","อา."))</f>
        <v/>
      </c>
      <c r="CU7" s="543">
        <f>IF('ปฏิทิน'!CU1="","",CHOOSE(WEEKDAY('ปฏิทิน'!CU1,2),"จ.","อ.","พ.","พฤ.","ศ.","ส.","อา."))</f>
        <v/>
      </c>
      <c r="CV7" s="543">
        <f>IF('ปฏิทิน'!CV1="","",CHOOSE(WEEKDAY('ปฏิทิน'!CV1,2),"จ.","อ.","พ.","พฤ.","ศ.","ส.","อา."))</f>
        <v/>
      </c>
      <c r="CW7" s="543">
        <f>IF('ปฏิทิน'!CW1="","",CHOOSE(WEEKDAY('ปฏิทิน'!CW1,2),"จ.","อ.","พ.","พฤ.","ศ.","ส.","อา."))</f>
        <v/>
      </c>
      <c r="CX7" s="543">
        <f>IF('ปฏิทิน'!CX1="","",CHOOSE(WEEKDAY('ปฏิทิน'!CX1,2),"จ.","อ.","พ.","พฤ.","ศ.","ส.","อา."))</f>
        <v/>
      </c>
      <c r="CY7" s="544" t="n"/>
      <c r="DB7" s="542">
        <f>IF('ปฏิทิน'!DB1="","",CHOOSE(WEEKDAY('ปฏิทิน'!DB1,2),"จ.","อ.","พ.","พฤ.","ศ.","ส.","อา."))</f>
        <v/>
      </c>
      <c r="DC7" s="543">
        <f>IF('ปฏิทิน'!DC1="","",CHOOSE(WEEKDAY('ปฏิทิน'!DC1,2),"จ.","อ.","พ.","พฤ.","ศ.","ส.","อา."))</f>
        <v/>
      </c>
      <c r="DD7" s="543">
        <f>IF('ปฏิทิน'!DD1="","",CHOOSE(WEEKDAY('ปฏิทิน'!DD1,2),"จ.","อ.","พ.","พฤ.","ศ.","ส.","อา."))</f>
        <v/>
      </c>
      <c r="DE7" s="543">
        <f>IF('ปฏิทิน'!DE1="","",CHOOSE(WEEKDAY('ปฏิทิน'!DE1,2),"จ.","อ.","พ.","พฤ.","ศ.","ส.","อา."))</f>
        <v/>
      </c>
      <c r="DF7" s="543">
        <f>IF('ปฏิทิน'!DF1="","",CHOOSE(WEEKDAY('ปฏิทิน'!DF1,2),"จ.","อ.","พ.","พฤ.","ศ.","ส.","อา."))</f>
        <v/>
      </c>
      <c r="DG7" s="543">
        <f>IF('ปฏิทิน'!DG1="","",CHOOSE(WEEKDAY('ปฏิทิน'!DG1,2),"จ.","อ.","พ.","พฤ.","ศ.","ส.","อา."))</f>
        <v/>
      </c>
      <c r="DH7" s="543">
        <f>IF('ปฏิทิน'!DH1="","",CHOOSE(WEEKDAY('ปฏิทิน'!DH1,2),"จ.","อ.","พ.","พฤ.","ศ.","ส.","อา."))</f>
        <v/>
      </c>
      <c r="DI7" s="543">
        <f>IF('ปฏิทิน'!DI1="","",CHOOSE(WEEKDAY('ปฏิทิน'!DI1,2),"จ.","อ.","พ.","พฤ.","ศ.","ส.","อา."))</f>
        <v/>
      </c>
      <c r="DJ7" s="543">
        <f>IF('ปฏิทิน'!DJ1="","",CHOOSE(WEEKDAY('ปฏิทิน'!DJ1,2),"จ.","อ.","พ.","พฤ.","ศ.","ส.","อา."))</f>
        <v/>
      </c>
      <c r="DK7" s="543">
        <f>IF('ปฏิทิน'!DK1="","",CHOOSE(WEEKDAY('ปฏิทิน'!DK1,2),"จ.","อ.","พ.","พฤ.","ศ.","ส.","อา."))</f>
        <v/>
      </c>
      <c r="DL7" s="543">
        <f>IF('ปฏิทิน'!DL1="","",CHOOSE(WEEKDAY('ปฏิทิน'!DL1,2),"จ.","อ.","พ.","พฤ.","ศ.","ส.","อา."))</f>
        <v/>
      </c>
      <c r="DM7" s="543">
        <f>IF('ปฏิทิน'!DM1="","",CHOOSE(WEEKDAY('ปฏิทิน'!DM1,2),"จ.","อ.","พ.","พฤ.","ศ.","ส.","อา."))</f>
        <v/>
      </c>
      <c r="DN7" s="543">
        <f>IF('ปฏิทิน'!DN1="","",CHOOSE(WEEKDAY('ปฏิทิน'!DN1,2),"จ.","อ.","พ.","พฤ.","ศ.","ส.","อา."))</f>
        <v/>
      </c>
      <c r="DO7" s="543">
        <f>IF('ปฏิทิน'!DO1="","",CHOOSE(WEEKDAY('ปฏิทิน'!DO1,2),"จ.","อ.","พ.","พฤ.","ศ.","ส.","อา."))</f>
        <v/>
      </c>
      <c r="DP7" s="543">
        <f>IF('ปฏิทิน'!DP1="","",CHOOSE(WEEKDAY('ปฏิทิน'!DP1,2),"จ.","อ.","พ.","พฤ.","ศ.","ส.","อา."))</f>
        <v/>
      </c>
      <c r="DQ7" s="543">
        <f>IF('ปฏิทิน'!DQ1="","",CHOOSE(WEEKDAY('ปฏิทิน'!DQ1,2),"จ.","อ.","พ.","พฤ.","ศ.","ส.","อา."))</f>
        <v/>
      </c>
      <c r="DR7" s="543">
        <f>IF('ปฏิทิน'!DR1="","",CHOOSE(WEEKDAY('ปฏิทิน'!DR1,2),"จ.","อ.","พ.","พฤ.","ศ.","ส.","อา."))</f>
        <v/>
      </c>
      <c r="DS7" s="543">
        <f>IF('ปฏิทิน'!DS1="","",CHOOSE(WEEKDAY('ปฏิทิน'!DS1,2),"จ.","อ.","พ.","พฤ.","ศ.","ส.","อา."))</f>
        <v/>
      </c>
      <c r="DT7" s="543">
        <f>IF('ปฏิทิน'!DT1="","",CHOOSE(WEEKDAY('ปฏิทิน'!DT1,2),"จ.","อ.","พ.","พฤ.","ศ.","ส.","อา."))</f>
        <v/>
      </c>
      <c r="DU7" s="543">
        <f>IF('ปฏิทิน'!DU1="","",CHOOSE(WEEKDAY('ปฏิทิน'!DU1,2),"จ.","อ.","พ.","พฤ.","ศ.","ส.","อา."))</f>
        <v/>
      </c>
      <c r="DV7" s="543">
        <f>IF('ปฏิทิน'!DV1="","",CHOOSE(WEEKDAY('ปฏิทิน'!DV1,2),"จ.","อ.","พ.","พฤ.","ศ.","ส.","อา."))</f>
        <v/>
      </c>
      <c r="DW7" s="543">
        <f>IF('ปฏิทิน'!DW1="","",CHOOSE(WEEKDAY('ปฏิทิน'!DW1,2),"จ.","อ.","พ.","พฤ.","ศ.","ส.","อา."))</f>
        <v/>
      </c>
      <c r="DX7" s="543">
        <f>IF('ปฏิทิน'!DX1="","",CHOOSE(WEEKDAY('ปฏิทิน'!DX1,2),"จ.","อ.","พ.","พฤ.","ศ.","ส.","อา."))</f>
        <v/>
      </c>
      <c r="DY7" s="543">
        <f>IF('ปฏิทิน'!DY1="","",CHOOSE(WEEKDAY('ปฏิทิน'!DY1,2),"จ.","อ.","พ.","พฤ.","ศ.","ส.","อา."))</f>
        <v/>
      </c>
      <c r="DZ7" s="543">
        <f>IF('ปฏิทิน'!DZ1="","",CHOOSE(WEEKDAY('ปฏิทิน'!DZ1,2),"จ.","อ.","พ.","พฤ.","ศ.","ส.","อา."))</f>
        <v/>
      </c>
      <c r="EA7" s="543">
        <f>IF('ปฏิทิน'!EA1="","",CHOOSE(WEEKDAY('ปฏิทิน'!EA1,2),"จ.","อ.","พ.","พฤ.","ศ.","ส.","อา."))</f>
        <v/>
      </c>
      <c r="EB7" s="543">
        <f>IF('ปฏิทิน'!EB1="","",CHOOSE(WEEKDAY('ปฏิทิน'!EB1,2),"จ.","อ.","พ.","พฤ.","ศ.","ส.","อา."))</f>
        <v/>
      </c>
      <c r="EC7" s="543">
        <f>IF('ปฏิทิน'!EC1="","",CHOOSE(WEEKDAY('ปฏิทิน'!EC1,2),"จ.","อ.","พ.","พฤ.","ศ.","ส.","อา."))</f>
        <v/>
      </c>
      <c r="ED7" s="543">
        <f>IF('ปฏิทิน'!ED1="","",CHOOSE(WEEKDAY('ปฏิทิน'!ED1,2),"จ.","อ.","พ.","พฤ.","ศ.","ส.","อา."))</f>
        <v/>
      </c>
      <c r="EE7" s="543">
        <f>IF('ปฏิทิน'!EE1="","",CHOOSE(WEEKDAY('ปฏิทิน'!EE1,2),"จ.","อ.","พ.","พฤ.","ศ.","ส.","อา."))</f>
        <v/>
      </c>
      <c r="EF7" s="543">
        <f>IF('ปฏิทิน'!EF1="","",CHOOSE(WEEKDAY('ปฏิทิน'!EF1,2),"จ.","อ.","พ.","พฤ.","ศ.","ส.","อา."))</f>
        <v/>
      </c>
      <c r="EG7" s="544" t="n"/>
      <c r="EJ7" s="542">
        <f>IF('ปฏิทิน'!EJ1="","",CHOOSE(WEEKDAY('ปฏิทิน'!EJ1,2),"จ.","อ.","พ.","พฤ.","ศ.","ส.","อา."))</f>
        <v/>
      </c>
      <c r="EK7" s="543">
        <f>IF('ปฏิทิน'!EK1="","",CHOOSE(WEEKDAY('ปฏิทิน'!EK1,2),"จ.","อ.","พ.","พฤ.","ศ.","ส.","อา."))</f>
        <v/>
      </c>
      <c r="EL7" s="543">
        <f>IF('ปฏิทิน'!EL1="","",CHOOSE(WEEKDAY('ปฏิทิน'!EL1,2),"จ.","อ.","พ.","พฤ.","ศ.","ส.","อา."))</f>
        <v/>
      </c>
      <c r="EM7" s="543">
        <f>IF('ปฏิทิน'!EM1="","",CHOOSE(WEEKDAY('ปฏิทิน'!EM1,2),"จ.","อ.","พ.","พฤ.","ศ.","ส.","อา."))</f>
        <v/>
      </c>
      <c r="EN7" s="543">
        <f>IF('ปฏิทิน'!EN1="","",CHOOSE(WEEKDAY('ปฏิทิน'!EN1,2),"จ.","อ.","พ.","พฤ.","ศ.","ส.","อา."))</f>
        <v/>
      </c>
      <c r="EO7" s="543">
        <f>IF('ปฏิทิน'!EO1="","",CHOOSE(WEEKDAY('ปฏิทิน'!EO1,2),"จ.","อ.","พ.","พฤ.","ศ.","ส.","อา."))</f>
        <v/>
      </c>
      <c r="EP7" s="543">
        <f>IF('ปฏิทิน'!EP1="","",CHOOSE(WEEKDAY('ปฏิทิน'!EP1,2),"จ.","อ.","พ.","พฤ.","ศ.","ส.","อา."))</f>
        <v/>
      </c>
      <c r="EQ7" s="543">
        <f>IF('ปฏิทิน'!EQ1="","",CHOOSE(WEEKDAY('ปฏิทิน'!EQ1,2),"จ.","อ.","พ.","พฤ.","ศ.","ส.","อา."))</f>
        <v/>
      </c>
      <c r="ER7" s="543">
        <f>IF('ปฏิทิน'!ER1="","",CHOOSE(WEEKDAY('ปฏิทิน'!ER1,2),"จ.","อ.","พ.","พฤ.","ศ.","ส.","อา."))</f>
        <v/>
      </c>
      <c r="ES7" s="543">
        <f>IF('ปฏิทิน'!ES1="","",CHOOSE(WEEKDAY('ปฏิทิน'!ES1,2),"จ.","อ.","พ.","พฤ.","ศ.","ส.","อา."))</f>
        <v/>
      </c>
      <c r="ET7" s="543">
        <f>IF('ปฏิทิน'!ET1="","",CHOOSE(WEEKDAY('ปฏิทิน'!ET1,2),"จ.","อ.","พ.","พฤ.","ศ.","ส.","อา."))</f>
        <v/>
      </c>
      <c r="EU7" s="543">
        <f>IF('ปฏิทิน'!EU1="","",CHOOSE(WEEKDAY('ปฏิทิน'!EU1,2),"จ.","อ.","พ.","พฤ.","ศ.","ส.","อา."))</f>
        <v/>
      </c>
      <c r="EV7" s="543">
        <f>IF('ปฏิทิน'!EV1="","",CHOOSE(WEEKDAY('ปฏิทิน'!EV1,2),"จ.","อ.","พ.","พฤ.","ศ.","ส.","อา."))</f>
        <v/>
      </c>
      <c r="EW7" s="543">
        <f>IF('ปฏิทิน'!EW1="","",CHOOSE(WEEKDAY('ปฏิทิน'!EW1,2),"จ.","อ.","พ.","พฤ.","ศ.","ส.","อา."))</f>
        <v/>
      </c>
      <c r="EX7" s="543">
        <f>IF('ปฏิทิน'!EX1="","",CHOOSE(WEEKDAY('ปฏิทิน'!EX1,2),"จ.","อ.","พ.","พฤ.","ศ.","ส.","อา."))</f>
        <v/>
      </c>
      <c r="EY7" s="543">
        <f>IF('ปฏิทิน'!EY1="","",CHOOSE(WEEKDAY('ปฏิทิน'!EY1,2),"จ.","อ.","พ.","พฤ.","ศ.","ส.","อา."))</f>
        <v/>
      </c>
      <c r="EZ7" s="543">
        <f>IF('ปฏิทิน'!EZ1="","",CHOOSE(WEEKDAY('ปฏิทิน'!EZ1,2),"จ.","อ.","พ.","พฤ.","ศ.","ส.","อา."))</f>
        <v/>
      </c>
      <c r="FA7" s="543">
        <f>IF('ปฏิทิน'!FA1="","",CHOOSE(WEEKDAY('ปฏิทิน'!FA1,2),"จ.","อ.","พ.","พฤ.","ศ.","ส.","อา."))</f>
        <v/>
      </c>
      <c r="FB7" s="543">
        <f>IF('ปฏิทิน'!FB1="","",CHOOSE(WEEKDAY('ปฏิทิน'!FB1,2),"จ.","อ.","พ.","พฤ.","ศ.","ส.","อา."))</f>
        <v/>
      </c>
      <c r="FC7" s="543">
        <f>IF('ปฏิทิน'!FC1="","",CHOOSE(WEEKDAY('ปฏิทิน'!FC1,2),"จ.","อ.","พ.","พฤ.","ศ.","ส.","อา."))</f>
        <v/>
      </c>
      <c r="FD7" s="543">
        <f>IF('ปฏิทิน'!FD1="","",CHOOSE(WEEKDAY('ปฏิทิน'!FD1,2),"จ.","อ.","พ.","พฤ.","ศ.","ส.","อา."))</f>
        <v/>
      </c>
      <c r="FE7" s="543">
        <f>IF('ปฏิทิน'!FE1="","",CHOOSE(WEEKDAY('ปฏิทิน'!FE1,2),"จ.","อ.","พ.","พฤ.","ศ.","ส.","อา."))</f>
        <v/>
      </c>
      <c r="FF7" s="543">
        <f>IF('ปฏิทิน'!FF1="","",CHOOSE(WEEKDAY('ปฏิทิน'!FF1,2),"จ.","อ.","พ.","พฤ.","ศ.","ส.","อา."))</f>
        <v/>
      </c>
      <c r="FG7" s="543">
        <f>IF('ปฏิทิน'!FG1="","",CHOOSE(WEEKDAY('ปฏิทิน'!FG1,2),"จ.","อ.","พ.","พฤ.","ศ.","ส.","อา."))</f>
        <v/>
      </c>
      <c r="FH7" s="543">
        <f>IF('ปฏิทิน'!FH1="","",CHOOSE(WEEKDAY('ปฏิทิน'!FH1,2),"จ.","อ.","พ.","พฤ.","ศ.","ส.","อา."))</f>
        <v/>
      </c>
      <c r="FI7" s="543">
        <f>IF('ปฏิทิน'!FI1="","",CHOOSE(WEEKDAY('ปฏิทิน'!FI1,2),"จ.","อ.","พ.","พฤ.","ศ.","ส.","อา."))</f>
        <v/>
      </c>
      <c r="FJ7" s="543">
        <f>IF('ปฏิทิน'!FJ1="","",CHOOSE(WEEKDAY('ปฏิทิน'!FJ1,2),"จ.","อ.","พ.","พฤ.","ศ.","ส.","อา."))</f>
        <v/>
      </c>
      <c r="FK7" s="543">
        <f>IF('ปฏิทิน'!FK1="","",CHOOSE(WEEKDAY('ปฏิทิน'!FK1,2),"จ.","อ.","พ.","พฤ.","ศ.","ส.","อา."))</f>
        <v/>
      </c>
      <c r="FL7" s="543">
        <f>IF('ปฏิทิน'!FL1="","",CHOOSE(WEEKDAY('ปฏิทิน'!FL1,2),"จ.","อ.","พ.","พฤ.","ศ.","ส.","อา."))</f>
        <v/>
      </c>
      <c r="FM7" s="543">
        <f>IF('ปฏิทิน'!FM1="","",CHOOSE(WEEKDAY('ปฏิทิน'!FM1,2),"จ.","อ.","พ.","พฤ.","ศ.","ส.","อา."))</f>
        <v/>
      </c>
      <c r="FN7" s="543">
        <f>IF('ปฏิทิน'!FN1="","",CHOOSE(WEEKDAY('ปฏิทิน'!FN1,2),"จ.","อ.","พ.","พฤ.","ศ.","ส.","อา."))</f>
        <v/>
      </c>
      <c r="FO7" s="544" t="n"/>
      <c r="FR7" s="542">
        <f>IF('ปฏิทิน'!FR1="","",CHOOSE(WEEKDAY('ปฏิทิน'!FR1,2),"จ.","อ.","พ.","พฤ.","ศ.","ส.","อา."))</f>
        <v/>
      </c>
      <c r="FS7" s="543">
        <f>IF('ปฏิทิน'!FS1="","",CHOOSE(WEEKDAY('ปฏิทิน'!FS1,2),"จ.","อ.","พ.","พฤ.","ศ.","ส.","อา."))</f>
        <v/>
      </c>
      <c r="FT7" s="543">
        <f>IF('ปฏิทิน'!FT1="","",CHOOSE(WEEKDAY('ปฏิทิน'!FT1,2),"จ.","อ.","พ.","พฤ.","ศ.","ส.","อา."))</f>
        <v/>
      </c>
      <c r="FU7" s="543">
        <f>IF('ปฏิทิน'!FU1="","",CHOOSE(WEEKDAY('ปฏิทิน'!FU1,2),"จ.","อ.","พ.","พฤ.","ศ.","ส.","อา."))</f>
        <v/>
      </c>
      <c r="FV7" s="543">
        <f>IF('ปฏิทิน'!FV1="","",CHOOSE(WEEKDAY('ปฏิทิน'!FV1,2),"จ.","อ.","พ.","พฤ.","ศ.","ส.","อา."))</f>
        <v/>
      </c>
      <c r="FW7" s="543">
        <f>IF('ปฏิทิน'!FW1="","",CHOOSE(WEEKDAY('ปฏิทิน'!FW1,2),"จ.","อ.","พ.","พฤ.","ศ.","ส.","อา."))</f>
        <v/>
      </c>
      <c r="FX7" s="543">
        <f>IF('ปฏิทิน'!FX1="","",CHOOSE(WEEKDAY('ปฏิทิน'!FX1,2),"จ.","อ.","พ.","พฤ.","ศ.","ส.","อา."))</f>
        <v/>
      </c>
      <c r="FY7" s="543">
        <f>IF('ปฏิทิน'!FY1="","",CHOOSE(WEEKDAY('ปฏิทิน'!FY1,2),"จ.","อ.","พ.","พฤ.","ศ.","ส.","อา."))</f>
        <v/>
      </c>
      <c r="FZ7" s="543">
        <f>IF('ปฏิทิน'!FZ1="","",CHOOSE(WEEKDAY('ปฏิทิน'!FZ1,2),"จ.","อ.","พ.","พฤ.","ศ.","ส.","อา."))</f>
        <v/>
      </c>
      <c r="GA7" s="543">
        <f>IF('ปฏิทิน'!GA1="","",CHOOSE(WEEKDAY('ปฏิทิน'!GA1,2),"จ.","อ.","พ.","พฤ.","ศ.","ส.","อา."))</f>
        <v/>
      </c>
      <c r="GB7" s="543">
        <f>IF('ปฏิทิน'!GB1="","",CHOOSE(WEEKDAY('ปฏิทิน'!GB1,2),"จ.","อ.","พ.","พฤ.","ศ.","ส.","อา."))</f>
        <v/>
      </c>
      <c r="GC7" s="543">
        <f>IF('ปฏิทิน'!GC1="","",CHOOSE(WEEKDAY('ปฏิทิน'!GC1,2),"จ.","อ.","พ.","พฤ.","ศ.","ส.","อา."))</f>
        <v/>
      </c>
      <c r="GD7" s="543">
        <f>IF('ปฏิทิน'!GD1="","",CHOOSE(WEEKDAY('ปฏิทิน'!GD1,2),"จ.","อ.","พ.","พฤ.","ศ.","ส.","อา."))</f>
        <v/>
      </c>
      <c r="GE7" s="543">
        <f>IF('ปฏิทิน'!GE1="","",CHOOSE(WEEKDAY('ปฏิทิน'!GE1,2),"จ.","อ.","พ.","พฤ.","ศ.","ส.","อา."))</f>
        <v/>
      </c>
      <c r="GF7" s="543">
        <f>IF('ปฏิทิน'!GF1="","",CHOOSE(WEEKDAY('ปฏิทิน'!GF1,2),"จ.","อ.","พ.","พฤ.","ศ.","ส.","อา."))</f>
        <v/>
      </c>
      <c r="GG7" s="543">
        <f>IF('ปฏิทิน'!GG1="","",CHOOSE(WEEKDAY('ปฏิทิน'!GG1,2),"จ.","อ.","พ.","พฤ.","ศ.","ส.","อา."))</f>
        <v/>
      </c>
      <c r="GH7" s="543">
        <f>IF('ปฏิทิน'!GH1="","",CHOOSE(WEEKDAY('ปฏิทิน'!GH1,2),"จ.","อ.","พ.","พฤ.","ศ.","ส.","อา."))</f>
        <v/>
      </c>
      <c r="GI7" s="543">
        <f>IF('ปฏิทิน'!GI1="","",CHOOSE(WEEKDAY('ปฏิทิน'!GI1,2),"จ.","อ.","พ.","พฤ.","ศ.","ส.","อา."))</f>
        <v/>
      </c>
      <c r="GJ7" s="543">
        <f>IF('ปฏิทิน'!GJ1="","",CHOOSE(WEEKDAY('ปฏิทิน'!GJ1,2),"จ.","อ.","พ.","พฤ.","ศ.","ส.","อา."))</f>
        <v/>
      </c>
      <c r="GK7" s="543">
        <f>IF('ปฏิทิน'!GK1="","",CHOOSE(WEEKDAY('ปฏิทิน'!GK1,2),"จ.","อ.","พ.","พฤ.","ศ.","ส.","อา."))</f>
        <v/>
      </c>
      <c r="GL7" s="543">
        <f>IF('ปฏิทิน'!GL1="","",CHOOSE(WEEKDAY('ปฏิทิน'!GL1,2),"จ.","อ.","พ.","พฤ.","ศ.","ส.","อา."))</f>
        <v/>
      </c>
      <c r="GM7" s="543">
        <f>IF('ปฏิทิน'!GM1="","",CHOOSE(WEEKDAY('ปฏิทิน'!GM1,2),"จ.","อ.","พ.","พฤ.","ศ.","ส.","อา."))</f>
        <v/>
      </c>
      <c r="GN7" s="543">
        <f>IF('ปฏิทิน'!GN1="","",CHOOSE(WEEKDAY('ปฏิทิน'!GN1,2),"จ.","อ.","พ.","พฤ.","ศ.","ส.","อา."))</f>
        <v/>
      </c>
      <c r="GO7" s="543">
        <f>IF('ปฏิทิน'!GO1="","",CHOOSE(WEEKDAY('ปฏิทิน'!GO1,2),"จ.","อ.","พ.","พฤ.","ศ.","ส.","อา."))</f>
        <v/>
      </c>
      <c r="GP7" s="543">
        <f>IF('ปฏิทิน'!GP1="","",CHOOSE(WEEKDAY('ปฏิทิน'!GP1,2),"จ.","อ.","พ.","พฤ.","ศ.","ส.","อา."))</f>
        <v/>
      </c>
      <c r="GQ7" s="543">
        <f>IF('ปฏิทิน'!GQ1="","",CHOOSE(WEEKDAY('ปฏิทิน'!GQ1,2),"จ.","อ.","พ.","พฤ.","ศ.","ส.","อา."))</f>
        <v/>
      </c>
      <c r="GR7" s="543">
        <f>IF('ปฏิทิน'!GR1="","",CHOOSE(WEEKDAY('ปฏิทิน'!GR1,2),"จ.","อ.","พ.","พฤ.","ศ.","ส.","อา."))</f>
        <v/>
      </c>
      <c r="GS7" s="543">
        <f>IF('ปฏิทิน'!GS1="","",CHOOSE(WEEKDAY('ปฏิทิน'!GS1,2),"จ.","อ.","พ.","พฤ.","ศ.","ส.","อา."))</f>
        <v/>
      </c>
      <c r="GT7" s="543">
        <f>IF('ปฏิทิน'!GT1="","",CHOOSE(WEEKDAY('ปฏิทิน'!GT1,2),"จ.","อ.","พ.","พฤ.","ศ.","ส.","อา."))</f>
        <v/>
      </c>
      <c r="GU7" s="543">
        <f>IF('ปฏิทิน'!GU1="","",CHOOSE(WEEKDAY('ปฏิทิน'!GU1,2),"จ.","อ.","พ.","พฤ.","ศ.","ส.","อา."))</f>
        <v/>
      </c>
      <c r="GV7" s="543">
        <f>IF('ปฏิทิน'!GV1="","",CHOOSE(WEEKDAY('ปฏิทิน'!GV1,2),"จ.","อ.","พ.","พฤ.","ศ.","ส.","อา."))</f>
        <v/>
      </c>
      <c r="GW7" s="544" t="n"/>
    </row>
    <row r="8" ht="64" customHeight="1">
      <c r="D8" s="545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544" t="n"/>
      <c r="AL8" s="545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544" t="n"/>
      <c r="BT8" s="545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544" t="n"/>
      <c r="DB8" s="545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544" t="n"/>
      <c r="EJ8" s="545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544" t="n"/>
      <c r="FR8" s="545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544" t="n"/>
    </row>
    <row r="9">
      <c r="A9" s="218" t="n">
        <v>1</v>
      </c>
      <c r="B9" s="219">
        <f>'ข้อมูลนักเรียน'!T9</f>
        <v/>
      </c>
      <c r="C9" s="546">
        <f>IF(B9="","",IFERROR(COUNTIF(D9:GY9,"น")/(COUNTIF(D9:GY9,"น")+COUNTIF(D9:GY9,"พ")+COUNTIF(D9:GY9,"ง")),""))</f>
        <v/>
      </c>
      <c r="D9" s="54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48">
        <f>IF($B9="","",COUNTIF(D9:AH9,"น"))</f>
        <v/>
      </c>
      <c r="AJ9" s="549">
        <f>IF($B9="","",COUNTIF(D9:AH9,"พ"))</f>
        <v/>
      </c>
      <c r="AK9" s="550">
        <f>IF($B9="","",COUNTIF(D9:AH9,"ง"))</f>
        <v/>
      </c>
      <c r="AL9" s="54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48">
        <f>IF($B9="","",COUNTIF(AL9:BP9,"น"))</f>
        <v/>
      </c>
      <c r="BR9" s="549">
        <f>IF($B9="","",COUNTIF(AL9:BP9,"พ"))</f>
        <v/>
      </c>
      <c r="BS9" s="550">
        <f>IF($B9="","",COUNTIF(AL9:BP9,"ง"))</f>
        <v/>
      </c>
      <c r="BT9" s="54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48">
        <f>IF($B9="","",COUNTIF(BT9:CX9,"น"))</f>
        <v/>
      </c>
      <c r="CZ9" s="549">
        <f>IF($B9="","",COUNTIF(BT9:CX9,"พ"))</f>
        <v/>
      </c>
      <c r="DA9" s="550">
        <f>IF($B9="","",COUNTIF(BT9:CX9,"ง"))</f>
        <v/>
      </c>
      <c r="DB9" s="54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48">
        <f>IF($B9="","",COUNTIF(DB9:EF9,"น"))</f>
        <v/>
      </c>
      <c r="EH9" s="549">
        <f>IF($B9="","",COUNTIF(DB9:EF9,"พ"))</f>
        <v/>
      </c>
      <c r="EI9" s="550">
        <f>IF($B9="","",COUNTIF(DB9:EF9,"ง"))</f>
        <v/>
      </c>
      <c r="EJ9" s="54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48">
        <f>IF($B9="","",COUNTIF(EJ9:FN9,"น"))</f>
        <v/>
      </c>
      <c r="FP9" s="549">
        <f>IF($B9="","",COUNTIF(EJ9:FN9,"พ"))</f>
        <v/>
      </c>
      <c r="FQ9" s="550">
        <f>IF($B9="","",COUNTIF(EJ9:FN9,"ง"))</f>
        <v/>
      </c>
      <c r="FR9" s="547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548">
        <f>IF($B9="","",COUNTIF(FR9:GV9,"น"))</f>
        <v/>
      </c>
      <c r="GX9" s="549">
        <f>IF($B9="","",COUNTIF(FR9:GV9,"พ"))</f>
        <v/>
      </c>
      <c r="GY9" s="550">
        <f>IF($B9="","",COUNTIF(FR9:GV9,"ง"))</f>
        <v/>
      </c>
    </row>
    <row r="10">
      <c r="A10" s="226" t="n">
        <v>2</v>
      </c>
      <c r="B10" s="227">
        <f>'ข้อมูลนักเรียน'!T10</f>
        <v/>
      </c>
      <c r="C10" s="546">
        <f>IF(B10="","",IFERROR(COUNTIF(D10:GY10,"น")/(COUNTIF(D10:GY10,"น")+COUNTIF(D10:GY10,"พ")+COUNTIF(D10:GY10,"ง")),""))</f>
        <v/>
      </c>
      <c r="D10" s="54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48">
        <f>IF($B10="","",COUNTIF(D10:AH10,"น"))</f>
        <v/>
      </c>
      <c r="AJ10" s="549">
        <f>IF($B10="","",COUNTIF(D10:AH10,"พ"))</f>
        <v/>
      </c>
      <c r="AK10" s="550">
        <f>IF($B10="","",COUNTIF(D10:AH10,"ง"))</f>
        <v/>
      </c>
      <c r="AL10" s="54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48">
        <f>IF($B10="","",COUNTIF(AL10:BP10,"น"))</f>
        <v/>
      </c>
      <c r="BR10" s="549">
        <f>IF($B10="","",COUNTIF(AL10:BP10,"พ"))</f>
        <v/>
      </c>
      <c r="BS10" s="550">
        <f>IF($B10="","",COUNTIF(AL10:BP10,"ง"))</f>
        <v/>
      </c>
      <c r="BT10" s="54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48">
        <f>IF($B10="","",COUNTIF(BT10:CX10,"น"))</f>
        <v/>
      </c>
      <c r="CZ10" s="549">
        <f>IF($B10="","",COUNTIF(BT10:CX10,"พ"))</f>
        <v/>
      </c>
      <c r="DA10" s="550">
        <f>IF($B10="","",COUNTIF(BT10:CX10,"ง"))</f>
        <v/>
      </c>
      <c r="DB10" s="54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48">
        <f>IF($B10="","",COUNTIF(DB10:EF10,"น"))</f>
        <v/>
      </c>
      <c r="EH10" s="549">
        <f>IF($B10="","",COUNTIF(DB10:EF10,"พ"))</f>
        <v/>
      </c>
      <c r="EI10" s="550">
        <f>IF($B10="","",COUNTIF(DB10:EF10,"ง"))</f>
        <v/>
      </c>
      <c r="EJ10" s="54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48">
        <f>IF($B10="","",COUNTIF(EJ10:FN10,"น"))</f>
        <v/>
      </c>
      <c r="FP10" s="549">
        <f>IF($B10="","",COUNTIF(EJ10:FN10,"พ"))</f>
        <v/>
      </c>
      <c r="FQ10" s="550">
        <f>IF($B10="","",COUNTIF(EJ10:FN10,"ง"))</f>
        <v/>
      </c>
      <c r="FR10" s="547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548">
        <f>IF($B10="","",COUNTIF(FR10:GV10,"น"))</f>
        <v/>
      </c>
      <c r="GX10" s="549">
        <f>IF($B10="","",COUNTIF(FR10:GV10,"พ"))</f>
        <v/>
      </c>
      <c r="GY10" s="550">
        <f>IF($B10="","",COUNTIF(FR10:GV10,"ง"))</f>
        <v/>
      </c>
    </row>
    <row r="11">
      <c r="A11" s="218" t="n">
        <v>3</v>
      </c>
      <c r="B11" s="219">
        <f>'ข้อมูลนักเรียน'!T11</f>
        <v/>
      </c>
      <c r="C11" s="546">
        <f>IF(B11="","",IFERROR(COUNTIF(D11:GY11,"น")/(COUNTIF(D11:GY11,"น")+COUNTIF(D11:GY11,"พ")+COUNTIF(D11:GY11,"ง")),""))</f>
        <v/>
      </c>
      <c r="D11" s="54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48">
        <f>IF($B11="","",COUNTIF(D11:AH11,"น"))</f>
        <v/>
      </c>
      <c r="AJ11" s="549">
        <f>IF($B11="","",COUNTIF(D11:AH11,"พ"))</f>
        <v/>
      </c>
      <c r="AK11" s="550">
        <f>IF($B11="","",COUNTIF(D11:AH11,"ง"))</f>
        <v/>
      </c>
      <c r="AL11" s="54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48">
        <f>IF($B11="","",COUNTIF(AL11:BP11,"น"))</f>
        <v/>
      </c>
      <c r="BR11" s="549">
        <f>IF($B11="","",COUNTIF(AL11:BP11,"พ"))</f>
        <v/>
      </c>
      <c r="BS11" s="550">
        <f>IF($B11="","",COUNTIF(AL11:BP11,"ง"))</f>
        <v/>
      </c>
      <c r="BT11" s="54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48">
        <f>IF($B11="","",COUNTIF(BT11:CX11,"น"))</f>
        <v/>
      </c>
      <c r="CZ11" s="549">
        <f>IF($B11="","",COUNTIF(BT11:CX11,"พ"))</f>
        <v/>
      </c>
      <c r="DA11" s="550">
        <f>IF($B11="","",COUNTIF(BT11:CX11,"ง"))</f>
        <v/>
      </c>
      <c r="DB11" s="54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48">
        <f>IF($B11="","",COUNTIF(DB11:EF11,"น"))</f>
        <v/>
      </c>
      <c r="EH11" s="549">
        <f>IF($B11="","",COUNTIF(DB11:EF11,"พ"))</f>
        <v/>
      </c>
      <c r="EI11" s="550">
        <f>IF($B11="","",COUNTIF(DB11:EF11,"ง"))</f>
        <v/>
      </c>
      <c r="EJ11" s="54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48">
        <f>IF($B11="","",COUNTIF(EJ11:FN11,"น"))</f>
        <v/>
      </c>
      <c r="FP11" s="549">
        <f>IF($B11="","",COUNTIF(EJ11:FN11,"พ"))</f>
        <v/>
      </c>
      <c r="FQ11" s="550">
        <f>IF($B11="","",COUNTIF(EJ11:FN11,"ง"))</f>
        <v/>
      </c>
      <c r="FR11" s="547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548">
        <f>IF($B11="","",COUNTIF(FR11:GV11,"น"))</f>
        <v/>
      </c>
      <c r="GX11" s="549">
        <f>IF($B11="","",COUNTIF(FR11:GV11,"พ"))</f>
        <v/>
      </c>
      <c r="GY11" s="550">
        <f>IF($B11="","",COUNTIF(FR11:GV11,"ง"))</f>
        <v/>
      </c>
    </row>
    <row r="12">
      <c r="A12" s="226" t="n">
        <v>4</v>
      </c>
      <c r="B12" s="227">
        <f>'ข้อมูลนักเรียน'!T12</f>
        <v/>
      </c>
      <c r="C12" s="546">
        <f>IF(B12="","",IFERROR(COUNTIF(D12:GY12,"น")/(COUNTIF(D12:GY12,"น")+COUNTIF(D12:GY12,"พ")+COUNTIF(D12:GY12,"ง")),""))</f>
        <v/>
      </c>
      <c r="D12" s="54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48">
        <f>IF($B12="","",COUNTIF(D12:AH12,"น"))</f>
        <v/>
      </c>
      <c r="AJ12" s="549">
        <f>IF($B12="","",COUNTIF(D12:AH12,"พ"))</f>
        <v/>
      </c>
      <c r="AK12" s="550">
        <f>IF($B12="","",COUNTIF(D12:AH12,"ง"))</f>
        <v/>
      </c>
      <c r="AL12" s="54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48">
        <f>IF($B12="","",COUNTIF(AL12:BP12,"น"))</f>
        <v/>
      </c>
      <c r="BR12" s="549">
        <f>IF($B12="","",COUNTIF(AL12:BP12,"พ"))</f>
        <v/>
      </c>
      <c r="BS12" s="550">
        <f>IF($B12="","",COUNTIF(AL12:BP12,"ง"))</f>
        <v/>
      </c>
      <c r="BT12" s="54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48">
        <f>IF($B12="","",COUNTIF(BT12:CX12,"น"))</f>
        <v/>
      </c>
      <c r="CZ12" s="549">
        <f>IF($B12="","",COUNTIF(BT12:CX12,"พ"))</f>
        <v/>
      </c>
      <c r="DA12" s="550">
        <f>IF($B12="","",COUNTIF(BT12:CX12,"ง"))</f>
        <v/>
      </c>
      <c r="DB12" s="54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48">
        <f>IF($B12="","",COUNTIF(DB12:EF12,"น"))</f>
        <v/>
      </c>
      <c r="EH12" s="549">
        <f>IF($B12="","",COUNTIF(DB12:EF12,"พ"))</f>
        <v/>
      </c>
      <c r="EI12" s="550">
        <f>IF($B12="","",COUNTIF(DB12:EF12,"ง"))</f>
        <v/>
      </c>
      <c r="EJ12" s="54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48">
        <f>IF($B12="","",COUNTIF(EJ12:FN12,"น"))</f>
        <v/>
      </c>
      <c r="FP12" s="549">
        <f>IF($B12="","",COUNTIF(EJ12:FN12,"พ"))</f>
        <v/>
      </c>
      <c r="FQ12" s="550">
        <f>IF($B12="","",COUNTIF(EJ12:FN12,"ง"))</f>
        <v/>
      </c>
      <c r="FR12" s="547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548">
        <f>IF($B12="","",COUNTIF(FR12:GV12,"น"))</f>
        <v/>
      </c>
      <c r="GX12" s="549">
        <f>IF($B12="","",COUNTIF(FR12:GV12,"พ"))</f>
        <v/>
      </c>
      <c r="GY12" s="550">
        <f>IF($B12="","",COUNTIF(FR12:GV12,"ง"))</f>
        <v/>
      </c>
    </row>
    <row r="13">
      <c r="A13" s="218" t="n">
        <v>5</v>
      </c>
      <c r="B13" s="219">
        <f>'ข้อมูลนักเรียน'!T13</f>
        <v/>
      </c>
      <c r="C13" s="546">
        <f>IF(B13="","",IFERROR(COUNTIF(D13:GY13,"น")/(COUNTIF(D13:GY13,"น")+COUNTIF(D13:GY13,"พ")+COUNTIF(D13:GY13,"ง")),""))</f>
        <v/>
      </c>
      <c r="D13" s="54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48">
        <f>IF($B13="","",COUNTIF(D13:AH13,"น"))</f>
        <v/>
      </c>
      <c r="AJ13" s="549">
        <f>IF($B13="","",COUNTIF(D13:AH13,"พ"))</f>
        <v/>
      </c>
      <c r="AK13" s="550">
        <f>IF($B13="","",COUNTIF(D13:AH13,"ง"))</f>
        <v/>
      </c>
      <c r="AL13" s="54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48">
        <f>IF($B13="","",COUNTIF(AL13:BP13,"น"))</f>
        <v/>
      </c>
      <c r="BR13" s="549">
        <f>IF($B13="","",COUNTIF(AL13:BP13,"พ"))</f>
        <v/>
      </c>
      <c r="BS13" s="550">
        <f>IF($B13="","",COUNTIF(AL13:BP13,"ง"))</f>
        <v/>
      </c>
      <c r="BT13" s="54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48">
        <f>IF($B13="","",COUNTIF(BT13:CX13,"น"))</f>
        <v/>
      </c>
      <c r="CZ13" s="549">
        <f>IF($B13="","",COUNTIF(BT13:CX13,"พ"))</f>
        <v/>
      </c>
      <c r="DA13" s="550">
        <f>IF($B13="","",COUNTIF(BT13:CX13,"ง"))</f>
        <v/>
      </c>
      <c r="DB13" s="54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48">
        <f>IF($B13="","",COUNTIF(DB13:EF13,"น"))</f>
        <v/>
      </c>
      <c r="EH13" s="549">
        <f>IF($B13="","",COUNTIF(DB13:EF13,"พ"))</f>
        <v/>
      </c>
      <c r="EI13" s="550">
        <f>IF($B13="","",COUNTIF(DB13:EF13,"ง"))</f>
        <v/>
      </c>
      <c r="EJ13" s="54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48">
        <f>IF($B13="","",COUNTIF(EJ13:FN13,"น"))</f>
        <v/>
      </c>
      <c r="FP13" s="549">
        <f>IF($B13="","",COUNTIF(EJ13:FN13,"พ"))</f>
        <v/>
      </c>
      <c r="FQ13" s="550">
        <f>IF($B13="","",COUNTIF(EJ13:FN13,"ง"))</f>
        <v/>
      </c>
      <c r="FR13" s="547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548">
        <f>IF($B13="","",COUNTIF(FR13:GV13,"น"))</f>
        <v/>
      </c>
      <c r="GX13" s="549">
        <f>IF($B13="","",COUNTIF(FR13:GV13,"พ"))</f>
        <v/>
      </c>
      <c r="GY13" s="550">
        <f>IF($B13="","",COUNTIF(FR13:GV13,"ง"))</f>
        <v/>
      </c>
    </row>
    <row r="14">
      <c r="A14" s="551" t="inlineStr">
        <is>
          <t>นอนหลับ (คน)</t>
        </is>
      </c>
      <c r="B14" s="184" t="n"/>
      <c r="C14" s="184" t="n"/>
      <c r="D14" s="552">
        <f>IF(D$4&lt;&gt;1,"",COUNTIF(D9:D13,"น"))</f>
        <v/>
      </c>
      <c r="E14" s="553">
        <f>IF(E$4&lt;&gt;1,"",COUNTIF(E9:E13,"น"))</f>
        <v/>
      </c>
      <c r="F14" s="553">
        <f>IF(F$4&lt;&gt;1,"",COUNTIF(F9:F13,"น"))</f>
        <v/>
      </c>
      <c r="G14" s="553">
        <f>IF(G$4&lt;&gt;1,"",COUNTIF(G9:G13,"น"))</f>
        <v/>
      </c>
      <c r="H14" s="553">
        <f>IF(H$4&lt;&gt;1,"",COUNTIF(H9:H13,"น"))</f>
        <v/>
      </c>
      <c r="I14" s="553">
        <f>IF(I$4&lt;&gt;1,"",COUNTIF(I9:I13,"น"))</f>
        <v/>
      </c>
      <c r="J14" s="553">
        <f>IF(J$4&lt;&gt;1,"",COUNTIF(J9:J13,"น"))</f>
        <v/>
      </c>
      <c r="K14" s="553">
        <f>IF(K$4&lt;&gt;1,"",COUNTIF(K9:K13,"น"))</f>
        <v/>
      </c>
      <c r="L14" s="553">
        <f>IF(L$4&lt;&gt;1,"",COUNTIF(L9:L13,"น"))</f>
        <v/>
      </c>
      <c r="M14" s="553">
        <f>IF(M$4&lt;&gt;1,"",COUNTIF(M9:M13,"น"))</f>
        <v/>
      </c>
      <c r="N14" s="553">
        <f>IF(N$4&lt;&gt;1,"",COUNTIF(N9:N13,"น"))</f>
        <v/>
      </c>
      <c r="O14" s="553">
        <f>IF(O$4&lt;&gt;1,"",COUNTIF(O9:O13,"น"))</f>
        <v/>
      </c>
      <c r="P14" s="553">
        <f>IF(P$4&lt;&gt;1,"",COUNTIF(P9:P13,"น"))</f>
        <v/>
      </c>
      <c r="Q14" s="553">
        <f>IF(Q$4&lt;&gt;1,"",COUNTIF(Q9:Q13,"น"))</f>
        <v/>
      </c>
      <c r="R14" s="553">
        <f>IF(R$4&lt;&gt;1,"",COUNTIF(R9:R13,"น"))</f>
        <v/>
      </c>
      <c r="S14" s="553">
        <f>IF(S$4&lt;&gt;1,"",COUNTIF(S9:S13,"น"))</f>
        <v/>
      </c>
      <c r="T14" s="553">
        <f>IF(T$4&lt;&gt;1,"",COUNTIF(T9:T13,"น"))</f>
        <v/>
      </c>
      <c r="U14" s="553">
        <f>IF(U$4&lt;&gt;1,"",COUNTIF(U9:U13,"น"))</f>
        <v/>
      </c>
      <c r="V14" s="553">
        <f>IF(V$4&lt;&gt;1,"",COUNTIF(V9:V13,"น"))</f>
        <v/>
      </c>
      <c r="W14" s="553">
        <f>IF(W$4&lt;&gt;1,"",COUNTIF(W9:W13,"น"))</f>
        <v/>
      </c>
      <c r="X14" s="553">
        <f>IF(X$4&lt;&gt;1,"",COUNTIF(X9:X13,"น"))</f>
        <v/>
      </c>
      <c r="Y14" s="553">
        <f>IF(Y$4&lt;&gt;1,"",COUNTIF(Y9:Y13,"น"))</f>
        <v/>
      </c>
      <c r="Z14" s="553">
        <f>IF(Z$4&lt;&gt;1,"",COUNTIF(Z9:Z13,"น"))</f>
        <v/>
      </c>
      <c r="AA14" s="553">
        <f>IF(AA$4&lt;&gt;1,"",COUNTIF(AA9:AA13,"น"))</f>
        <v/>
      </c>
      <c r="AB14" s="553">
        <f>IF(AB$4&lt;&gt;1,"",COUNTIF(AB9:AB13,"น"))</f>
        <v/>
      </c>
      <c r="AC14" s="553">
        <f>IF(AC$4&lt;&gt;1,"",COUNTIF(AC9:AC13,"น"))</f>
        <v/>
      </c>
      <c r="AD14" s="553">
        <f>IF(AD$4&lt;&gt;1,"",COUNTIF(AD9:AD13,"น"))</f>
        <v/>
      </c>
      <c r="AE14" s="553">
        <f>IF(AE$4&lt;&gt;1,"",COUNTIF(AE9:AE13,"น"))</f>
        <v/>
      </c>
      <c r="AF14" s="553">
        <f>IF(AF$4&lt;&gt;1,"",COUNTIF(AF9:AF13,"น"))</f>
        <v/>
      </c>
      <c r="AG14" s="553">
        <f>IF(AG$4&lt;&gt;1,"",COUNTIF(AG9:AG13,"น"))</f>
        <v/>
      </c>
      <c r="AH14" s="553">
        <f>IF(AH$4&lt;&gt;1,"",COUNTIF(AH9:AH13,"น"))</f>
        <v/>
      </c>
      <c r="AI14" s="554">
        <f>SUM(AI9:AI13)</f>
        <v/>
      </c>
      <c r="AJ14" s="555">
        <f>SUM(AJ9:AJ13)</f>
        <v/>
      </c>
      <c r="AK14" s="556">
        <f>SUM(AK9:AK13)</f>
        <v/>
      </c>
      <c r="AL14" s="552">
        <f>IF(AL$4&lt;&gt;1,"",COUNTIF(AL9:AL13,"น"))</f>
        <v/>
      </c>
      <c r="AM14" s="553">
        <f>IF(AM$4&lt;&gt;1,"",COUNTIF(AM9:AM13,"น"))</f>
        <v/>
      </c>
      <c r="AN14" s="553">
        <f>IF(AN$4&lt;&gt;1,"",COUNTIF(AN9:AN13,"น"))</f>
        <v/>
      </c>
      <c r="AO14" s="553">
        <f>IF(AO$4&lt;&gt;1,"",COUNTIF(AO9:AO13,"น"))</f>
        <v/>
      </c>
      <c r="AP14" s="553">
        <f>IF(AP$4&lt;&gt;1,"",COUNTIF(AP9:AP13,"น"))</f>
        <v/>
      </c>
      <c r="AQ14" s="553">
        <f>IF(AQ$4&lt;&gt;1,"",COUNTIF(AQ9:AQ13,"น"))</f>
        <v/>
      </c>
      <c r="AR14" s="553">
        <f>IF(AR$4&lt;&gt;1,"",COUNTIF(AR9:AR13,"น"))</f>
        <v/>
      </c>
      <c r="AS14" s="553">
        <f>IF(AS$4&lt;&gt;1,"",COUNTIF(AS9:AS13,"น"))</f>
        <v/>
      </c>
      <c r="AT14" s="553">
        <f>IF(AT$4&lt;&gt;1,"",COUNTIF(AT9:AT13,"น"))</f>
        <v/>
      </c>
      <c r="AU14" s="553">
        <f>IF(AU$4&lt;&gt;1,"",COUNTIF(AU9:AU13,"น"))</f>
        <v/>
      </c>
      <c r="AV14" s="553">
        <f>IF(AV$4&lt;&gt;1,"",COUNTIF(AV9:AV13,"น"))</f>
        <v/>
      </c>
      <c r="AW14" s="553">
        <f>IF(AW$4&lt;&gt;1,"",COUNTIF(AW9:AW13,"น"))</f>
        <v/>
      </c>
      <c r="AX14" s="553">
        <f>IF(AX$4&lt;&gt;1,"",COUNTIF(AX9:AX13,"น"))</f>
        <v/>
      </c>
      <c r="AY14" s="553">
        <f>IF(AY$4&lt;&gt;1,"",COUNTIF(AY9:AY13,"น"))</f>
        <v/>
      </c>
      <c r="AZ14" s="553">
        <f>IF(AZ$4&lt;&gt;1,"",COUNTIF(AZ9:AZ13,"น"))</f>
        <v/>
      </c>
      <c r="BA14" s="553">
        <f>IF(BA$4&lt;&gt;1,"",COUNTIF(BA9:BA13,"น"))</f>
        <v/>
      </c>
      <c r="BB14" s="553">
        <f>IF(BB$4&lt;&gt;1,"",COUNTIF(BB9:BB13,"น"))</f>
        <v/>
      </c>
      <c r="BC14" s="553">
        <f>IF(BC$4&lt;&gt;1,"",COUNTIF(BC9:BC13,"น"))</f>
        <v/>
      </c>
      <c r="BD14" s="553">
        <f>IF(BD$4&lt;&gt;1,"",COUNTIF(BD9:BD13,"น"))</f>
        <v/>
      </c>
      <c r="BE14" s="553">
        <f>IF(BE$4&lt;&gt;1,"",COUNTIF(BE9:BE13,"น"))</f>
        <v/>
      </c>
      <c r="BF14" s="553">
        <f>IF(BF$4&lt;&gt;1,"",COUNTIF(BF9:BF13,"น"))</f>
        <v/>
      </c>
      <c r="BG14" s="553">
        <f>IF(BG$4&lt;&gt;1,"",COUNTIF(BG9:BG13,"น"))</f>
        <v/>
      </c>
      <c r="BH14" s="553">
        <f>IF(BH$4&lt;&gt;1,"",COUNTIF(BH9:BH13,"น"))</f>
        <v/>
      </c>
      <c r="BI14" s="553">
        <f>IF(BI$4&lt;&gt;1,"",COUNTIF(BI9:BI13,"น"))</f>
        <v/>
      </c>
      <c r="BJ14" s="553">
        <f>IF(BJ$4&lt;&gt;1,"",COUNTIF(BJ9:BJ13,"น"))</f>
        <v/>
      </c>
      <c r="BK14" s="553">
        <f>IF(BK$4&lt;&gt;1,"",COUNTIF(BK9:BK13,"น"))</f>
        <v/>
      </c>
      <c r="BL14" s="553">
        <f>IF(BL$4&lt;&gt;1,"",COUNTIF(BL9:BL13,"น"))</f>
        <v/>
      </c>
      <c r="BM14" s="553">
        <f>IF(BM$4&lt;&gt;1,"",COUNTIF(BM9:BM13,"น"))</f>
        <v/>
      </c>
      <c r="BN14" s="553">
        <f>IF(BN$4&lt;&gt;1,"",COUNTIF(BN9:BN13,"น"))</f>
        <v/>
      </c>
      <c r="BO14" s="553">
        <f>IF(BO$4&lt;&gt;1,"",COUNTIF(BO9:BO13,"น"))</f>
        <v/>
      </c>
      <c r="BP14" s="553">
        <f>IF(BP$4&lt;&gt;1,"",COUNTIF(BP9:BP13,"น"))</f>
        <v/>
      </c>
      <c r="BQ14" s="554">
        <f>SUM(BQ9:BQ13)</f>
        <v/>
      </c>
      <c r="BR14" s="555">
        <f>SUM(BR9:BR13)</f>
        <v/>
      </c>
      <c r="BS14" s="556">
        <f>SUM(BS9:BS13)</f>
        <v/>
      </c>
      <c r="BT14" s="552">
        <f>IF(BT$4&lt;&gt;1,"",COUNTIF(BT9:BT13,"น"))</f>
        <v/>
      </c>
      <c r="BU14" s="553">
        <f>IF(BU$4&lt;&gt;1,"",COUNTIF(BU9:BU13,"น"))</f>
        <v/>
      </c>
      <c r="BV14" s="553">
        <f>IF(BV$4&lt;&gt;1,"",COUNTIF(BV9:BV13,"น"))</f>
        <v/>
      </c>
      <c r="BW14" s="553">
        <f>IF(BW$4&lt;&gt;1,"",COUNTIF(BW9:BW13,"น"))</f>
        <v/>
      </c>
      <c r="BX14" s="553">
        <f>IF(BX$4&lt;&gt;1,"",COUNTIF(BX9:BX13,"น"))</f>
        <v/>
      </c>
      <c r="BY14" s="553">
        <f>IF(BY$4&lt;&gt;1,"",COUNTIF(BY9:BY13,"น"))</f>
        <v/>
      </c>
      <c r="BZ14" s="553">
        <f>IF(BZ$4&lt;&gt;1,"",COUNTIF(BZ9:BZ13,"น"))</f>
        <v/>
      </c>
      <c r="CA14" s="553">
        <f>IF(CA$4&lt;&gt;1,"",COUNTIF(CA9:CA13,"น"))</f>
        <v/>
      </c>
      <c r="CB14" s="553">
        <f>IF(CB$4&lt;&gt;1,"",COUNTIF(CB9:CB13,"น"))</f>
        <v/>
      </c>
      <c r="CC14" s="553">
        <f>IF(CC$4&lt;&gt;1,"",COUNTIF(CC9:CC13,"น"))</f>
        <v/>
      </c>
      <c r="CD14" s="553">
        <f>IF(CD$4&lt;&gt;1,"",COUNTIF(CD9:CD13,"น"))</f>
        <v/>
      </c>
      <c r="CE14" s="553">
        <f>IF(CE$4&lt;&gt;1,"",COUNTIF(CE9:CE13,"น"))</f>
        <v/>
      </c>
      <c r="CF14" s="553">
        <f>IF(CF$4&lt;&gt;1,"",COUNTIF(CF9:CF13,"น"))</f>
        <v/>
      </c>
      <c r="CG14" s="553">
        <f>IF(CG$4&lt;&gt;1,"",COUNTIF(CG9:CG13,"น"))</f>
        <v/>
      </c>
      <c r="CH14" s="553">
        <f>IF(CH$4&lt;&gt;1,"",COUNTIF(CH9:CH13,"น"))</f>
        <v/>
      </c>
      <c r="CI14" s="553">
        <f>IF(CI$4&lt;&gt;1,"",COUNTIF(CI9:CI13,"น"))</f>
        <v/>
      </c>
      <c r="CJ14" s="553">
        <f>IF(CJ$4&lt;&gt;1,"",COUNTIF(CJ9:CJ13,"น"))</f>
        <v/>
      </c>
      <c r="CK14" s="553">
        <f>IF(CK$4&lt;&gt;1,"",COUNTIF(CK9:CK13,"น"))</f>
        <v/>
      </c>
      <c r="CL14" s="553">
        <f>IF(CL$4&lt;&gt;1,"",COUNTIF(CL9:CL13,"น"))</f>
        <v/>
      </c>
      <c r="CM14" s="553">
        <f>IF(CM$4&lt;&gt;1,"",COUNTIF(CM9:CM13,"น"))</f>
        <v/>
      </c>
      <c r="CN14" s="553">
        <f>IF(CN$4&lt;&gt;1,"",COUNTIF(CN9:CN13,"น"))</f>
        <v/>
      </c>
      <c r="CO14" s="553">
        <f>IF(CO$4&lt;&gt;1,"",COUNTIF(CO9:CO13,"น"))</f>
        <v/>
      </c>
      <c r="CP14" s="553">
        <f>IF(CP$4&lt;&gt;1,"",COUNTIF(CP9:CP13,"น"))</f>
        <v/>
      </c>
      <c r="CQ14" s="553">
        <f>IF(CQ$4&lt;&gt;1,"",COUNTIF(CQ9:CQ13,"น"))</f>
        <v/>
      </c>
      <c r="CR14" s="553">
        <f>IF(CR$4&lt;&gt;1,"",COUNTIF(CR9:CR13,"น"))</f>
        <v/>
      </c>
      <c r="CS14" s="553">
        <f>IF(CS$4&lt;&gt;1,"",COUNTIF(CS9:CS13,"น"))</f>
        <v/>
      </c>
      <c r="CT14" s="553">
        <f>IF(CT$4&lt;&gt;1,"",COUNTIF(CT9:CT13,"น"))</f>
        <v/>
      </c>
      <c r="CU14" s="553">
        <f>IF(CU$4&lt;&gt;1,"",COUNTIF(CU9:CU13,"น"))</f>
        <v/>
      </c>
      <c r="CV14" s="553">
        <f>IF(CV$4&lt;&gt;1,"",COUNTIF(CV9:CV13,"น"))</f>
        <v/>
      </c>
      <c r="CW14" s="553">
        <f>IF(CW$4&lt;&gt;1,"",COUNTIF(CW9:CW13,"น"))</f>
        <v/>
      </c>
      <c r="CX14" s="553">
        <f>IF(CX$4&lt;&gt;1,"",COUNTIF(CX9:CX13,"น"))</f>
        <v/>
      </c>
      <c r="CY14" s="554">
        <f>SUM(CY9:CY13)</f>
        <v/>
      </c>
      <c r="CZ14" s="555">
        <f>SUM(CZ9:CZ13)</f>
        <v/>
      </c>
      <c r="DA14" s="556">
        <f>SUM(DA9:DA13)</f>
        <v/>
      </c>
      <c r="DB14" s="552">
        <f>IF(DB$4&lt;&gt;1,"",COUNTIF(DB9:DB13,"น"))</f>
        <v/>
      </c>
      <c r="DC14" s="553">
        <f>IF(DC$4&lt;&gt;1,"",COUNTIF(DC9:DC13,"น"))</f>
        <v/>
      </c>
      <c r="DD14" s="553">
        <f>IF(DD$4&lt;&gt;1,"",COUNTIF(DD9:DD13,"น"))</f>
        <v/>
      </c>
      <c r="DE14" s="553">
        <f>IF(DE$4&lt;&gt;1,"",COUNTIF(DE9:DE13,"น"))</f>
        <v/>
      </c>
      <c r="DF14" s="553">
        <f>IF(DF$4&lt;&gt;1,"",COUNTIF(DF9:DF13,"น"))</f>
        <v/>
      </c>
      <c r="DG14" s="553">
        <f>IF(DG$4&lt;&gt;1,"",COUNTIF(DG9:DG13,"น"))</f>
        <v/>
      </c>
      <c r="DH14" s="553">
        <f>IF(DH$4&lt;&gt;1,"",COUNTIF(DH9:DH13,"น"))</f>
        <v/>
      </c>
      <c r="DI14" s="553">
        <f>IF(DI$4&lt;&gt;1,"",COUNTIF(DI9:DI13,"น"))</f>
        <v/>
      </c>
      <c r="DJ14" s="553">
        <f>IF(DJ$4&lt;&gt;1,"",COUNTIF(DJ9:DJ13,"น"))</f>
        <v/>
      </c>
      <c r="DK14" s="553">
        <f>IF(DK$4&lt;&gt;1,"",COUNTIF(DK9:DK13,"น"))</f>
        <v/>
      </c>
      <c r="DL14" s="553">
        <f>IF(DL$4&lt;&gt;1,"",COUNTIF(DL9:DL13,"น"))</f>
        <v/>
      </c>
      <c r="DM14" s="553">
        <f>IF(DM$4&lt;&gt;1,"",COUNTIF(DM9:DM13,"น"))</f>
        <v/>
      </c>
      <c r="DN14" s="553">
        <f>IF(DN$4&lt;&gt;1,"",COUNTIF(DN9:DN13,"น"))</f>
        <v/>
      </c>
      <c r="DO14" s="553">
        <f>IF(DO$4&lt;&gt;1,"",COUNTIF(DO9:DO13,"น"))</f>
        <v/>
      </c>
      <c r="DP14" s="553">
        <f>IF(DP$4&lt;&gt;1,"",COUNTIF(DP9:DP13,"น"))</f>
        <v/>
      </c>
      <c r="DQ14" s="553">
        <f>IF(DQ$4&lt;&gt;1,"",COUNTIF(DQ9:DQ13,"น"))</f>
        <v/>
      </c>
      <c r="DR14" s="553">
        <f>IF(DR$4&lt;&gt;1,"",COUNTIF(DR9:DR13,"น"))</f>
        <v/>
      </c>
      <c r="DS14" s="553">
        <f>IF(DS$4&lt;&gt;1,"",COUNTIF(DS9:DS13,"น"))</f>
        <v/>
      </c>
      <c r="DT14" s="553">
        <f>IF(DT$4&lt;&gt;1,"",COUNTIF(DT9:DT13,"น"))</f>
        <v/>
      </c>
      <c r="DU14" s="553">
        <f>IF(DU$4&lt;&gt;1,"",COUNTIF(DU9:DU13,"น"))</f>
        <v/>
      </c>
      <c r="DV14" s="553">
        <f>IF(DV$4&lt;&gt;1,"",COUNTIF(DV9:DV13,"น"))</f>
        <v/>
      </c>
      <c r="DW14" s="553">
        <f>IF(DW$4&lt;&gt;1,"",COUNTIF(DW9:DW13,"น"))</f>
        <v/>
      </c>
      <c r="DX14" s="553">
        <f>IF(DX$4&lt;&gt;1,"",COUNTIF(DX9:DX13,"น"))</f>
        <v/>
      </c>
      <c r="DY14" s="553">
        <f>IF(DY$4&lt;&gt;1,"",COUNTIF(DY9:DY13,"น"))</f>
        <v/>
      </c>
      <c r="DZ14" s="553">
        <f>IF(DZ$4&lt;&gt;1,"",COUNTIF(DZ9:DZ13,"น"))</f>
        <v/>
      </c>
      <c r="EA14" s="553">
        <f>IF(EA$4&lt;&gt;1,"",COUNTIF(EA9:EA13,"น"))</f>
        <v/>
      </c>
      <c r="EB14" s="553">
        <f>IF(EB$4&lt;&gt;1,"",COUNTIF(EB9:EB13,"น"))</f>
        <v/>
      </c>
      <c r="EC14" s="553">
        <f>IF(EC$4&lt;&gt;1,"",COUNTIF(EC9:EC13,"น"))</f>
        <v/>
      </c>
      <c r="ED14" s="553">
        <f>IF(ED$4&lt;&gt;1,"",COUNTIF(ED9:ED13,"น"))</f>
        <v/>
      </c>
      <c r="EE14" s="553">
        <f>IF(EE$4&lt;&gt;1,"",COUNTIF(EE9:EE13,"น"))</f>
        <v/>
      </c>
      <c r="EF14" s="553">
        <f>IF(EF$4&lt;&gt;1,"",COUNTIF(EF9:EF13,"น"))</f>
        <v/>
      </c>
      <c r="EG14" s="554">
        <f>SUM(EG9:EG13)</f>
        <v/>
      </c>
      <c r="EH14" s="555">
        <f>SUM(EH9:EH13)</f>
        <v/>
      </c>
      <c r="EI14" s="556">
        <f>SUM(EI9:EI13)</f>
        <v/>
      </c>
      <c r="EJ14" s="552">
        <f>IF(EJ$4&lt;&gt;1,"",COUNTIF(EJ9:EJ13,"น"))</f>
        <v/>
      </c>
      <c r="EK14" s="553">
        <f>IF(EK$4&lt;&gt;1,"",COUNTIF(EK9:EK13,"น"))</f>
        <v/>
      </c>
      <c r="EL14" s="553">
        <f>IF(EL$4&lt;&gt;1,"",COUNTIF(EL9:EL13,"น"))</f>
        <v/>
      </c>
      <c r="EM14" s="553">
        <f>IF(EM$4&lt;&gt;1,"",COUNTIF(EM9:EM13,"น"))</f>
        <v/>
      </c>
      <c r="EN14" s="553">
        <f>IF(EN$4&lt;&gt;1,"",COUNTIF(EN9:EN13,"น"))</f>
        <v/>
      </c>
      <c r="EO14" s="553">
        <f>IF(EO$4&lt;&gt;1,"",COUNTIF(EO9:EO13,"น"))</f>
        <v/>
      </c>
      <c r="EP14" s="553">
        <f>IF(EP$4&lt;&gt;1,"",COUNTIF(EP9:EP13,"น"))</f>
        <v/>
      </c>
      <c r="EQ14" s="553">
        <f>IF(EQ$4&lt;&gt;1,"",COUNTIF(EQ9:EQ13,"น"))</f>
        <v/>
      </c>
      <c r="ER14" s="553">
        <f>IF(ER$4&lt;&gt;1,"",COUNTIF(ER9:ER13,"น"))</f>
        <v/>
      </c>
      <c r="ES14" s="553">
        <f>IF(ES$4&lt;&gt;1,"",COUNTIF(ES9:ES13,"น"))</f>
        <v/>
      </c>
      <c r="ET14" s="553">
        <f>IF(ET$4&lt;&gt;1,"",COUNTIF(ET9:ET13,"น"))</f>
        <v/>
      </c>
      <c r="EU14" s="553">
        <f>IF(EU$4&lt;&gt;1,"",COUNTIF(EU9:EU13,"น"))</f>
        <v/>
      </c>
      <c r="EV14" s="553">
        <f>IF(EV$4&lt;&gt;1,"",COUNTIF(EV9:EV13,"น"))</f>
        <v/>
      </c>
      <c r="EW14" s="553">
        <f>IF(EW$4&lt;&gt;1,"",COUNTIF(EW9:EW13,"น"))</f>
        <v/>
      </c>
      <c r="EX14" s="553">
        <f>IF(EX$4&lt;&gt;1,"",COUNTIF(EX9:EX13,"น"))</f>
        <v/>
      </c>
      <c r="EY14" s="553">
        <f>IF(EY$4&lt;&gt;1,"",COUNTIF(EY9:EY13,"น"))</f>
        <v/>
      </c>
      <c r="EZ14" s="553">
        <f>IF(EZ$4&lt;&gt;1,"",COUNTIF(EZ9:EZ13,"น"))</f>
        <v/>
      </c>
      <c r="FA14" s="553">
        <f>IF(FA$4&lt;&gt;1,"",COUNTIF(FA9:FA13,"น"))</f>
        <v/>
      </c>
      <c r="FB14" s="553">
        <f>IF(FB$4&lt;&gt;1,"",COUNTIF(FB9:FB13,"น"))</f>
        <v/>
      </c>
      <c r="FC14" s="553">
        <f>IF(FC$4&lt;&gt;1,"",COUNTIF(FC9:FC13,"น"))</f>
        <v/>
      </c>
      <c r="FD14" s="553">
        <f>IF(FD$4&lt;&gt;1,"",COUNTIF(FD9:FD13,"น"))</f>
        <v/>
      </c>
      <c r="FE14" s="553">
        <f>IF(FE$4&lt;&gt;1,"",COUNTIF(FE9:FE13,"น"))</f>
        <v/>
      </c>
      <c r="FF14" s="553">
        <f>IF(FF$4&lt;&gt;1,"",COUNTIF(FF9:FF13,"น"))</f>
        <v/>
      </c>
      <c r="FG14" s="553">
        <f>IF(FG$4&lt;&gt;1,"",COUNTIF(FG9:FG13,"น"))</f>
        <v/>
      </c>
      <c r="FH14" s="553">
        <f>IF(FH$4&lt;&gt;1,"",COUNTIF(FH9:FH13,"น"))</f>
        <v/>
      </c>
      <c r="FI14" s="553">
        <f>IF(FI$4&lt;&gt;1,"",COUNTIF(FI9:FI13,"น"))</f>
        <v/>
      </c>
      <c r="FJ14" s="553">
        <f>IF(FJ$4&lt;&gt;1,"",COUNTIF(FJ9:FJ13,"น"))</f>
        <v/>
      </c>
      <c r="FK14" s="553">
        <f>IF(FK$4&lt;&gt;1,"",COUNTIF(FK9:FK13,"น"))</f>
        <v/>
      </c>
      <c r="FL14" s="553">
        <f>IF(FL$4&lt;&gt;1,"",COUNTIF(FL9:FL13,"น"))</f>
        <v/>
      </c>
      <c r="FM14" s="553">
        <f>IF(FM$4&lt;&gt;1,"",COUNTIF(FM9:FM13,"น"))</f>
        <v/>
      </c>
      <c r="FN14" s="553">
        <f>IF(FN$4&lt;&gt;1,"",COUNTIF(FN9:FN13,"น"))</f>
        <v/>
      </c>
      <c r="FO14" s="554">
        <f>SUM(FO9:FO13)</f>
        <v/>
      </c>
      <c r="FP14" s="555">
        <f>SUM(FP9:FP13)</f>
        <v/>
      </c>
      <c r="FQ14" s="556">
        <f>SUM(FQ9:FQ13)</f>
        <v/>
      </c>
      <c r="FR14" s="552">
        <f>IF(FR$4&lt;&gt;1,"",COUNTIF(FR9:FR13,"น"))</f>
        <v/>
      </c>
      <c r="FS14" s="553">
        <f>IF(FS$4&lt;&gt;1,"",COUNTIF(FS9:FS13,"น"))</f>
        <v/>
      </c>
      <c r="FT14" s="553">
        <f>IF(FT$4&lt;&gt;1,"",COUNTIF(FT9:FT13,"น"))</f>
        <v/>
      </c>
      <c r="FU14" s="553">
        <f>IF(FU$4&lt;&gt;1,"",COUNTIF(FU9:FU13,"น"))</f>
        <v/>
      </c>
      <c r="FV14" s="553">
        <f>IF(FV$4&lt;&gt;1,"",COUNTIF(FV9:FV13,"น"))</f>
        <v/>
      </c>
      <c r="FW14" s="553">
        <f>IF(FW$4&lt;&gt;1,"",COUNTIF(FW9:FW13,"น"))</f>
        <v/>
      </c>
      <c r="FX14" s="553">
        <f>IF(FX$4&lt;&gt;1,"",COUNTIF(FX9:FX13,"น"))</f>
        <v/>
      </c>
      <c r="FY14" s="553">
        <f>IF(FY$4&lt;&gt;1,"",COUNTIF(FY9:FY13,"น"))</f>
        <v/>
      </c>
      <c r="FZ14" s="553">
        <f>IF(FZ$4&lt;&gt;1,"",COUNTIF(FZ9:FZ13,"น"))</f>
        <v/>
      </c>
      <c r="GA14" s="553">
        <f>IF(GA$4&lt;&gt;1,"",COUNTIF(GA9:GA13,"น"))</f>
        <v/>
      </c>
      <c r="GB14" s="553">
        <f>IF(GB$4&lt;&gt;1,"",COUNTIF(GB9:GB13,"น"))</f>
        <v/>
      </c>
      <c r="GC14" s="553">
        <f>IF(GC$4&lt;&gt;1,"",COUNTIF(GC9:GC13,"น"))</f>
        <v/>
      </c>
      <c r="GD14" s="553">
        <f>IF(GD$4&lt;&gt;1,"",COUNTIF(GD9:GD13,"น"))</f>
        <v/>
      </c>
      <c r="GE14" s="553">
        <f>IF(GE$4&lt;&gt;1,"",COUNTIF(GE9:GE13,"น"))</f>
        <v/>
      </c>
      <c r="GF14" s="553">
        <f>IF(GF$4&lt;&gt;1,"",COUNTIF(GF9:GF13,"น"))</f>
        <v/>
      </c>
      <c r="GG14" s="553">
        <f>IF(GG$4&lt;&gt;1,"",COUNTIF(GG9:GG13,"น"))</f>
        <v/>
      </c>
      <c r="GH14" s="553">
        <f>IF(GH$4&lt;&gt;1,"",COUNTIF(GH9:GH13,"น"))</f>
        <v/>
      </c>
      <c r="GI14" s="553">
        <f>IF(GI$4&lt;&gt;1,"",COUNTIF(GI9:GI13,"น"))</f>
        <v/>
      </c>
      <c r="GJ14" s="553">
        <f>IF(GJ$4&lt;&gt;1,"",COUNTIF(GJ9:GJ13,"น"))</f>
        <v/>
      </c>
      <c r="GK14" s="553">
        <f>IF(GK$4&lt;&gt;1,"",COUNTIF(GK9:GK13,"น"))</f>
        <v/>
      </c>
      <c r="GL14" s="553">
        <f>IF(GL$4&lt;&gt;1,"",COUNTIF(GL9:GL13,"น"))</f>
        <v/>
      </c>
      <c r="GM14" s="553">
        <f>IF(GM$4&lt;&gt;1,"",COUNTIF(GM9:GM13,"น"))</f>
        <v/>
      </c>
      <c r="GN14" s="553">
        <f>IF(GN$4&lt;&gt;1,"",COUNTIF(GN9:GN13,"น"))</f>
        <v/>
      </c>
      <c r="GO14" s="553">
        <f>IF(GO$4&lt;&gt;1,"",COUNTIF(GO9:GO13,"น"))</f>
        <v/>
      </c>
      <c r="GP14" s="553">
        <f>IF(GP$4&lt;&gt;1,"",COUNTIF(GP9:GP13,"น"))</f>
        <v/>
      </c>
      <c r="GQ14" s="553">
        <f>IF(GQ$4&lt;&gt;1,"",COUNTIF(GQ9:GQ13,"น"))</f>
        <v/>
      </c>
      <c r="GR14" s="553">
        <f>IF(GR$4&lt;&gt;1,"",COUNTIF(GR9:GR13,"น"))</f>
        <v/>
      </c>
      <c r="GS14" s="553">
        <f>IF(GS$4&lt;&gt;1,"",COUNTIF(GS9:GS13,"น"))</f>
        <v/>
      </c>
      <c r="GT14" s="553">
        <f>IF(GT$4&lt;&gt;1,"",COUNTIF(GT9:GT13,"น"))</f>
        <v/>
      </c>
      <c r="GU14" s="553">
        <f>IF(GU$4&lt;&gt;1,"",COUNTIF(GU9:GU13,"น"))</f>
        <v/>
      </c>
      <c r="GV14" s="553">
        <f>IF(GV$4&lt;&gt;1,"",COUNTIF(GV9:GV13,"น"))</f>
        <v/>
      </c>
      <c r="GW14" s="554">
        <f>SUM(GW9:GW13)</f>
        <v/>
      </c>
      <c r="GX14" s="555">
        <f>SUM(GX9:GX13)</f>
        <v/>
      </c>
      <c r="GY14" s="556">
        <f>SUM(GY9:GY13)</f>
        <v/>
      </c>
    </row>
    <row r="15">
      <c r="A15" s="551" t="inlineStr">
        <is>
          <t>พักผ่อนไม่หลับ (คน)</t>
        </is>
      </c>
      <c r="B15" s="184" t="n"/>
      <c r="C15" s="184" t="n"/>
      <c r="D15" s="552">
        <f>IF(D$4&lt;&gt;1,"",COUNTIF(D9:D13,"พ"))</f>
        <v/>
      </c>
      <c r="E15" s="553">
        <f>IF(E$4&lt;&gt;1,"",COUNTIF(E9:E13,"พ"))</f>
        <v/>
      </c>
      <c r="F15" s="553">
        <f>IF(F$4&lt;&gt;1,"",COUNTIF(F9:F13,"พ"))</f>
        <v/>
      </c>
      <c r="G15" s="553">
        <f>IF(G$4&lt;&gt;1,"",COUNTIF(G9:G13,"พ"))</f>
        <v/>
      </c>
      <c r="H15" s="553">
        <f>IF(H$4&lt;&gt;1,"",COUNTIF(H9:H13,"พ"))</f>
        <v/>
      </c>
      <c r="I15" s="553">
        <f>IF(I$4&lt;&gt;1,"",COUNTIF(I9:I13,"พ"))</f>
        <v/>
      </c>
      <c r="J15" s="553">
        <f>IF(J$4&lt;&gt;1,"",COUNTIF(J9:J13,"พ"))</f>
        <v/>
      </c>
      <c r="K15" s="553">
        <f>IF(K$4&lt;&gt;1,"",COUNTIF(K9:K13,"พ"))</f>
        <v/>
      </c>
      <c r="L15" s="553">
        <f>IF(L$4&lt;&gt;1,"",COUNTIF(L9:L13,"พ"))</f>
        <v/>
      </c>
      <c r="M15" s="553">
        <f>IF(M$4&lt;&gt;1,"",COUNTIF(M9:M13,"พ"))</f>
        <v/>
      </c>
      <c r="N15" s="553">
        <f>IF(N$4&lt;&gt;1,"",COUNTIF(N9:N13,"พ"))</f>
        <v/>
      </c>
      <c r="O15" s="553">
        <f>IF(O$4&lt;&gt;1,"",COUNTIF(O9:O13,"พ"))</f>
        <v/>
      </c>
      <c r="P15" s="553">
        <f>IF(P$4&lt;&gt;1,"",COUNTIF(P9:P13,"พ"))</f>
        <v/>
      </c>
      <c r="Q15" s="553">
        <f>IF(Q$4&lt;&gt;1,"",COUNTIF(Q9:Q13,"พ"))</f>
        <v/>
      </c>
      <c r="R15" s="553">
        <f>IF(R$4&lt;&gt;1,"",COUNTIF(R9:R13,"พ"))</f>
        <v/>
      </c>
      <c r="S15" s="553">
        <f>IF(S$4&lt;&gt;1,"",COUNTIF(S9:S13,"พ"))</f>
        <v/>
      </c>
      <c r="T15" s="553">
        <f>IF(T$4&lt;&gt;1,"",COUNTIF(T9:T13,"พ"))</f>
        <v/>
      </c>
      <c r="U15" s="553">
        <f>IF(U$4&lt;&gt;1,"",COUNTIF(U9:U13,"พ"))</f>
        <v/>
      </c>
      <c r="V15" s="553">
        <f>IF(V$4&lt;&gt;1,"",COUNTIF(V9:V13,"พ"))</f>
        <v/>
      </c>
      <c r="W15" s="553">
        <f>IF(W$4&lt;&gt;1,"",COUNTIF(W9:W13,"พ"))</f>
        <v/>
      </c>
      <c r="X15" s="553">
        <f>IF(X$4&lt;&gt;1,"",COUNTIF(X9:X13,"พ"))</f>
        <v/>
      </c>
      <c r="Y15" s="553">
        <f>IF(Y$4&lt;&gt;1,"",COUNTIF(Y9:Y13,"พ"))</f>
        <v/>
      </c>
      <c r="Z15" s="553">
        <f>IF(Z$4&lt;&gt;1,"",COUNTIF(Z9:Z13,"พ"))</f>
        <v/>
      </c>
      <c r="AA15" s="553">
        <f>IF(AA$4&lt;&gt;1,"",COUNTIF(AA9:AA13,"พ"))</f>
        <v/>
      </c>
      <c r="AB15" s="553">
        <f>IF(AB$4&lt;&gt;1,"",COUNTIF(AB9:AB13,"พ"))</f>
        <v/>
      </c>
      <c r="AC15" s="553">
        <f>IF(AC$4&lt;&gt;1,"",COUNTIF(AC9:AC13,"พ"))</f>
        <v/>
      </c>
      <c r="AD15" s="553">
        <f>IF(AD$4&lt;&gt;1,"",COUNTIF(AD9:AD13,"พ"))</f>
        <v/>
      </c>
      <c r="AE15" s="553">
        <f>IF(AE$4&lt;&gt;1,"",COUNTIF(AE9:AE13,"พ"))</f>
        <v/>
      </c>
      <c r="AF15" s="553">
        <f>IF(AF$4&lt;&gt;1,"",COUNTIF(AF9:AF13,"พ"))</f>
        <v/>
      </c>
      <c r="AG15" s="553">
        <f>IF(AG$4&lt;&gt;1,"",COUNTIF(AG9:AG13,"พ"))</f>
        <v/>
      </c>
      <c r="AH15" s="553">
        <f>IF(AH$4&lt;&gt;1,"",COUNTIF(AH9:AH13,"พ"))</f>
        <v/>
      </c>
      <c r="AI15" s="554" t="n"/>
      <c r="AJ15" s="555" t="n"/>
      <c r="AK15" s="556" t="n"/>
      <c r="AL15" s="552">
        <f>IF(AL$4&lt;&gt;1,"",COUNTIF(AL9:AL13,"พ"))</f>
        <v/>
      </c>
      <c r="AM15" s="553">
        <f>IF(AM$4&lt;&gt;1,"",COUNTIF(AM9:AM13,"พ"))</f>
        <v/>
      </c>
      <c r="AN15" s="553">
        <f>IF(AN$4&lt;&gt;1,"",COUNTIF(AN9:AN13,"พ"))</f>
        <v/>
      </c>
      <c r="AO15" s="553">
        <f>IF(AO$4&lt;&gt;1,"",COUNTIF(AO9:AO13,"พ"))</f>
        <v/>
      </c>
      <c r="AP15" s="553">
        <f>IF(AP$4&lt;&gt;1,"",COUNTIF(AP9:AP13,"พ"))</f>
        <v/>
      </c>
      <c r="AQ15" s="553">
        <f>IF(AQ$4&lt;&gt;1,"",COUNTIF(AQ9:AQ13,"พ"))</f>
        <v/>
      </c>
      <c r="AR15" s="553">
        <f>IF(AR$4&lt;&gt;1,"",COUNTIF(AR9:AR13,"พ"))</f>
        <v/>
      </c>
      <c r="AS15" s="553">
        <f>IF(AS$4&lt;&gt;1,"",COUNTIF(AS9:AS13,"พ"))</f>
        <v/>
      </c>
      <c r="AT15" s="553">
        <f>IF(AT$4&lt;&gt;1,"",COUNTIF(AT9:AT13,"พ"))</f>
        <v/>
      </c>
      <c r="AU15" s="553">
        <f>IF(AU$4&lt;&gt;1,"",COUNTIF(AU9:AU13,"พ"))</f>
        <v/>
      </c>
      <c r="AV15" s="553">
        <f>IF(AV$4&lt;&gt;1,"",COUNTIF(AV9:AV13,"พ"))</f>
        <v/>
      </c>
      <c r="AW15" s="553">
        <f>IF(AW$4&lt;&gt;1,"",COUNTIF(AW9:AW13,"พ"))</f>
        <v/>
      </c>
      <c r="AX15" s="553">
        <f>IF(AX$4&lt;&gt;1,"",COUNTIF(AX9:AX13,"พ"))</f>
        <v/>
      </c>
      <c r="AY15" s="553">
        <f>IF(AY$4&lt;&gt;1,"",COUNTIF(AY9:AY13,"พ"))</f>
        <v/>
      </c>
      <c r="AZ15" s="553">
        <f>IF(AZ$4&lt;&gt;1,"",COUNTIF(AZ9:AZ13,"พ"))</f>
        <v/>
      </c>
      <c r="BA15" s="553">
        <f>IF(BA$4&lt;&gt;1,"",COUNTIF(BA9:BA13,"พ"))</f>
        <v/>
      </c>
      <c r="BB15" s="553">
        <f>IF(BB$4&lt;&gt;1,"",COUNTIF(BB9:BB13,"พ"))</f>
        <v/>
      </c>
      <c r="BC15" s="553">
        <f>IF(BC$4&lt;&gt;1,"",COUNTIF(BC9:BC13,"พ"))</f>
        <v/>
      </c>
      <c r="BD15" s="553">
        <f>IF(BD$4&lt;&gt;1,"",COUNTIF(BD9:BD13,"พ"))</f>
        <v/>
      </c>
      <c r="BE15" s="553">
        <f>IF(BE$4&lt;&gt;1,"",COUNTIF(BE9:BE13,"พ"))</f>
        <v/>
      </c>
      <c r="BF15" s="553">
        <f>IF(BF$4&lt;&gt;1,"",COUNTIF(BF9:BF13,"พ"))</f>
        <v/>
      </c>
      <c r="BG15" s="553">
        <f>IF(BG$4&lt;&gt;1,"",COUNTIF(BG9:BG13,"พ"))</f>
        <v/>
      </c>
      <c r="BH15" s="553">
        <f>IF(BH$4&lt;&gt;1,"",COUNTIF(BH9:BH13,"พ"))</f>
        <v/>
      </c>
      <c r="BI15" s="553">
        <f>IF(BI$4&lt;&gt;1,"",COUNTIF(BI9:BI13,"พ"))</f>
        <v/>
      </c>
      <c r="BJ15" s="553">
        <f>IF(BJ$4&lt;&gt;1,"",COUNTIF(BJ9:BJ13,"พ"))</f>
        <v/>
      </c>
      <c r="BK15" s="553">
        <f>IF(BK$4&lt;&gt;1,"",COUNTIF(BK9:BK13,"พ"))</f>
        <v/>
      </c>
      <c r="BL15" s="553">
        <f>IF(BL$4&lt;&gt;1,"",COUNTIF(BL9:BL13,"พ"))</f>
        <v/>
      </c>
      <c r="BM15" s="553">
        <f>IF(BM$4&lt;&gt;1,"",COUNTIF(BM9:BM13,"พ"))</f>
        <v/>
      </c>
      <c r="BN15" s="553">
        <f>IF(BN$4&lt;&gt;1,"",COUNTIF(BN9:BN13,"พ"))</f>
        <v/>
      </c>
      <c r="BO15" s="553">
        <f>IF(BO$4&lt;&gt;1,"",COUNTIF(BO9:BO13,"พ"))</f>
        <v/>
      </c>
      <c r="BP15" s="553">
        <f>IF(BP$4&lt;&gt;1,"",COUNTIF(BP9:BP13,"พ"))</f>
        <v/>
      </c>
      <c r="BQ15" s="554" t="n"/>
      <c r="BR15" s="555" t="n"/>
      <c r="BS15" s="556" t="n"/>
      <c r="BT15" s="552">
        <f>IF(BT$4&lt;&gt;1,"",COUNTIF(BT9:BT13,"พ"))</f>
        <v/>
      </c>
      <c r="BU15" s="553">
        <f>IF(BU$4&lt;&gt;1,"",COUNTIF(BU9:BU13,"พ"))</f>
        <v/>
      </c>
      <c r="BV15" s="553">
        <f>IF(BV$4&lt;&gt;1,"",COUNTIF(BV9:BV13,"พ"))</f>
        <v/>
      </c>
      <c r="BW15" s="553">
        <f>IF(BW$4&lt;&gt;1,"",COUNTIF(BW9:BW13,"พ"))</f>
        <v/>
      </c>
      <c r="BX15" s="553">
        <f>IF(BX$4&lt;&gt;1,"",COUNTIF(BX9:BX13,"พ"))</f>
        <v/>
      </c>
      <c r="BY15" s="553">
        <f>IF(BY$4&lt;&gt;1,"",COUNTIF(BY9:BY13,"พ"))</f>
        <v/>
      </c>
      <c r="BZ15" s="553">
        <f>IF(BZ$4&lt;&gt;1,"",COUNTIF(BZ9:BZ13,"พ"))</f>
        <v/>
      </c>
      <c r="CA15" s="553">
        <f>IF(CA$4&lt;&gt;1,"",COUNTIF(CA9:CA13,"พ"))</f>
        <v/>
      </c>
      <c r="CB15" s="553">
        <f>IF(CB$4&lt;&gt;1,"",COUNTIF(CB9:CB13,"พ"))</f>
        <v/>
      </c>
      <c r="CC15" s="553">
        <f>IF(CC$4&lt;&gt;1,"",COUNTIF(CC9:CC13,"พ"))</f>
        <v/>
      </c>
      <c r="CD15" s="553">
        <f>IF(CD$4&lt;&gt;1,"",COUNTIF(CD9:CD13,"พ"))</f>
        <v/>
      </c>
      <c r="CE15" s="553">
        <f>IF(CE$4&lt;&gt;1,"",COUNTIF(CE9:CE13,"พ"))</f>
        <v/>
      </c>
      <c r="CF15" s="553">
        <f>IF(CF$4&lt;&gt;1,"",COUNTIF(CF9:CF13,"พ"))</f>
        <v/>
      </c>
      <c r="CG15" s="553">
        <f>IF(CG$4&lt;&gt;1,"",COUNTIF(CG9:CG13,"พ"))</f>
        <v/>
      </c>
      <c r="CH15" s="553">
        <f>IF(CH$4&lt;&gt;1,"",COUNTIF(CH9:CH13,"พ"))</f>
        <v/>
      </c>
      <c r="CI15" s="553">
        <f>IF(CI$4&lt;&gt;1,"",COUNTIF(CI9:CI13,"พ"))</f>
        <v/>
      </c>
      <c r="CJ15" s="553">
        <f>IF(CJ$4&lt;&gt;1,"",COUNTIF(CJ9:CJ13,"พ"))</f>
        <v/>
      </c>
      <c r="CK15" s="553">
        <f>IF(CK$4&lt;&gt;1,"",COUNTIF(CK9:CK13,"พ"))</f>
        <v/>
      </c>
      <c r="CL15" s="553">
        <f>IF(CL$4&lt;&gt;1,"",COUNTIF(CL9:CL13,"พ"))</f>
        <v/>
      </c>
      <c r="CM15" s="553">
        <f>IF(CM$4&lt;&gt;1,"",COUNTIF(CM9:CM13,"พ"))</f>
        <v/>
      </c>
      <c r="CN15" s="553">
        <f>IF(CN$4&lt;&gt;1,"",COUNTIF(CN9:CN13,"พ"))</f>
        <v/>
      </c>
      <c r="CO15" s="553">
        <f>IF(CO$4&lt;&gt;1,"",COUNTIF(CO9:CO13,"พ"))</f>
        <v/>
      </c>
      <c r="CP15" s="553">
        <f>IF(CP$4&lt;&gt;1,"",COUNTIF(CP9:CP13,"พ"))</f>
        <v/>
      </c>
      <c r="CQ15" s="553">
        <f>IF(CQ$4&lt;&gt;1,"",COUNTIF(CQ9:CQ13,"พ"))</f>
        <v/>
      </c>
      <c r="CR15" s="553">
        <f>IF(CR$4&lt;&gt;1,"",COUNTIF(CR9:CR13,"พ"))</f>
        <v/>
      </c>
      <c r="CS15" s="553">
        <f>IF(CS$4&lt;&gt;1,"",COUNTIF(CS9:CS13,"พ"))</f>
        <v/>
      </c>
      <c r="CT15" s="553">
        <f>IF(CT$4&lt;&gt;1,"",COUNTIF(CT9:CT13,"พ"))</f>
        <v/>
      </c>
      <c r="CU15" s="553">
        <f>IF(CU$4&lt;&gt;1,"",COUNTIF(CU9:CU13,"พ"))</f>
        <v/>
      </c>
      <c r="CV15" s="553">
        <f>IF(CV$4&lt;&gt;1,"",COUNTIF(CV9:CV13,"พ"))</f>
        <v/>
      </c>
      <c r="CW15" s="553">
        <f>IF(CW$4&lt;&gt;1,"",COUNTIF(CW9:CW13,"พ"))</f>
        <v/>
      </c>
      <c r="CX15" s="553">
        <f>IF(CX$4&lt;&gt;1,"",COUNTIF(CX9:CX13,"พ"))</f>
        <v/>
      </c>
      <c r="CY15" s="554" t="n"/>
      <c r="CZ15" s="555" t="n"/>
      <c r="DA15" s="556" t="n"/>
      <c r="DB15" s="552">
        <f>IF(DB$4&lt;&gt;1,"",COUNTIF(DB9:DB13,"พ"))</f>
        <v/>
      </c>
      <c r="DC15" s="553">
        <f>IF(DC$4&lt;&gt;1,"",COUNTIF(DC9:DC13,"พ"))</f>
        <v/>
      </c>
      <c r="DD15" s="553">
        <f>IF(DD$4&lt;&gt;1,"",COUNTIF(DD9:DD13,"พ"))</f>
        <v/>
      </c>
      <c r="DE15" s="553">
        <f>IF(DE$4&lt;&gt;1,"",COUNTIF(DE9:DE13,"พ"))</f>
        <v/>
      </c>
      <c r="DF15" s="553">
        <f>IF(DF$4&lt;&gt;1,"",COUNTIF(DF9:DF13,"พ"))</f>
        <v/>
      </c>
      <c r="DG15" s="553">
        <f>IF(DG$4&lt;&gt;1,"",COUNTIF(DG9:DG13,"พ"))</f>
        <v/>
      </c>
      <c r="DH15" s="553">
        <f>IF(DH$4&lt;&gt;1,"",COUNTIF(DH9:DH13,"พ"))</f>
        <v/>
      </c>
      <c r="DI15" s="553">
        <f>IF(DI$4&lt;&gt;1,"",COUNTIF(DI9:DI13,"พ"))</f>
        <v/>
      </c>
      <c r="DJ15" s="553">
        <f>IF(DJ$4&lt;&gt;1,"",COUNTIF(DJ9:DJ13,"พ"))</f>
        <v/>
      </c>
      <c r="DK15" s="553">
        <f>IF(DK$4&lt;&gt;1,"",COUNTIF(DK9:DK13,"พ"))</f>
        <v/>
      </c>
      <c r="DL15" s="553">
        <f>IF(DL$4&lt;&gt;1,"",COUNTIF(DL9:DL13,"พ"))</f>
        <v/>
      </c>
      <c r="DM15" s="553">
        <f>IF(DM$4&lt;&gt;1,"",COUNTIF(DM9:DM13,"พ"))</f>
        <v/>
      </c>
      <c r="DN15" s="553">
        <f>IF(DN$4&lt;&gt;1,"",COUNTIF(DN9:DN13,"พ"))</f>
        <v/>
      </c>
      <c r="DO15" s="553">
        <f>IF(DO$4&lt;&gt;1,"",COUNTIF(DO9:DO13,"พ"))</f>
        <v/>
      </c>
      <c r="DP15" s="553">
        <f>IF(DP$4&lt;&gt;1,"",COUNTIF(DP9:DP13,"พ"))</f>
        <v/>
      </c>
      <c r="DQ15" s="553">
        <f>IF(DQ$4&lt;&gt;1,"",COUNTIF(DQ9:DQ13,"พ"))</f>
        <v/>
      </c>
      <c r="DR15" s="553">
        <f>IF(DR$4&lt;&gt;1,"",COUNTIF(DR9:DR13,"พ"))</f>
        <v/>
      </c>
      <c r="DS15" s="553">
        <f>IF(DS$4&lt;&gt;1,"",COUNTIF(DS9:DS13,"พ"))</f>
        <v/>
      </c>
      <c r="DT15" s="553">
        <f>IF(DT$4&lt;&gt;1,"",COUNTIF(DT9:DT13,"พ"))</f>
        <v/>
      </c>
      <c r="DU15" s="553">
        <f>IF(DU$4&lt;&gt;1,"",COUNTIF(DU9:DU13,"พ"))</f>
        <v/>
      </c>
      <c r="DV15" s="553">
        <f>IF(DV$4&lt;&gt;1,"",COUNTIF(DV9:DV13,"พ"))</f>
        <v/>
      </c>
      <c r="DW15" s="553">
        <f>IF(DW$4&lt;&gt;1,"",COUNTIF(DW9:DW13,"พ"))</f>
        <v/>
      </c>
      <c r="DX15" s="553">
        <f>IF(DX$4&lt;&gt;1,"",COUNTIF(DX9:DX13,"พ"))</f>
        <v/>
      </c>
      <c r="DY15" s="553">
        <f>IF(DY$4&lt;&gt;1,"",COUNTIF(DY9:DY13,"พ"))</f>
        <v/>
      </c>
      <c r="DZ15" s="553">
        <f>IF(DZ$4&lt;&gt;1,"",COUNTIF(DZ9:DZ13,"พ"))</f>
        <v/>
      </c>
      <c r="EA15" s="553">
        <f>IF(EA$4&lt;&gt;1,"",COUNTIF(EA9:EA13,"พ"))</f>
        <v/>
      </c>
      <c r="EB15" s="553">
        <f>IF(EB$4&lt;&gt;1,"",COUNTIF(EB9:EB13,"พ"))</f>
        <v/>
      </c>
      <c r="EC15" s="553">
        <f>IF(EC$4&lt;&gt;1,"",COUNTIF(EC9:EC13,"พ"))</f>
        <v/>
      </c>
      <c r="ED15" s="553">
        <f>IF(ED$4&lt;&gt;1,"",COUNTIF(ED9:ED13,"พ"))</f>
        <v/>
      </c>
      <c r="EE15" s="553">
        <f>IF(EE$4&lt;&gt;1,"",COUNTIF(EE9:EE13,"พ"))</f>
        <v/>
      </c>
      <c r="EF15" s="553">
        <f>IF(EF$4&lt;&gt;1,"",COUNTIF(EF9:EF13,"พ"))</f>
        <v/>
      </c>
      <c r="EG15" s="554" t="n"/>
      <c r="EH15" s="555" t="n"/>
      <c r="EI15" s="556" t="n"/>
      <c r="EJ15" s="552">
        <f>IF(EJ$4&lt;&gt;1,"",COUNTIF(EJ9:EJ13,"พ"))</f>
        <v/>
      </c>
      <c r="EK15" s="553">
        <f>IF(EK$4&lt;&gt;1,"",COUNTIF(EK9:EK13,"พ"))</f>
        <v/>
      </c>
      <c r="EL15" s="553">
        <f>IF(EL$4&lt;&gt;1,"",COUNTIF(EL9:EL13,"พ"))</f>
        <v/>
      </c>
      <c r="EM15" s="553">
        <f>IF(EM$4&lt;&gt;1,"",COUNTIF(EM9:EM13,"พ"))</f>
        <v/>
      </c>
      <c r="EN15" s="553">
        <f>IF(EN$4&lt;&gt;1,"",COUNTIF(EN9:EN13,"พ"))</f>
        <v/>
      </c>
      <c r="EO15" s="553">
        <f>IF(EO$4&lt;&gt;1,"",COUNTIF(EO9:EO13,"พ"))</f>
        <v/>
      </c>
      <c r="EP15" s="553">
        <f>IF(EP$4&lt;&gt;1,"",COUNTIF(EP9:EP13,"พ"))</f>
        <v/>
      </c>
      <c r="EQ15" s="553">
        <f>IF(EQ$4&lt;&gt;1,"",COUNTIF(EQ9:EQ13,"พ"))</f>
        <v/>
      </c>
      <c r="ER15" s="553">
        <f>IF(ER$4&lt;&gt;1,"",COUNTIF(ER9:ER13,"พ"))</f>
        <v/>
      </c>
      <c r="ES15" s="553">
        <f>IF(ES$4&lt;&gt;1,"",COUNTIF(ES9:ES13,"พ"))</f>
        <v/>
      </c>
      <c r="ET15" s="553">
        <f>IF(ET$4&lt;&gt;1,"",COUNTIF(ET9:ET13,"พ"))</f>
        <v/>
      </c>
      <c r="EU15" s="553">
        <f>IF(EU$4&lt;&gt;1,"",COUNTIF(EU9:EU13,"พ"))</f>
        <v/>
      </c>
      <c r="EV15" s="553">
        <f>IF(EV$4&lt;&gt;1,"",COUNTIF(EV9:EV13,"พ"))</f>
        <v/>
      </c>
      <c r="EW15" s="553">
        <f>IF(EW$4&lt;&gt;1,"",COUNTIF(EW9:EW13,"พ"))</f>
        <v/>
      </c>
      <c r="EX15" s="553">
        <f>IF(EX$4&lt;&gt;1,"",COUNTIF(EX9:EX13,"พ"))</f>
        <v/>
      </c>
      <c r="EY15" s="553">
        <f>IF(EY$4&lt;&gt;1,"",COUNTIF(EY9:EY13,"พ"))</f>
        <v/>
      </c>
      <c r="EZ15" s="553">
        <f>IF(EZ$4&lt;&gt;1,"",COUNTIF(EZ9:EZ13,"พ"))</f>
        <v/>
      </c>
      <c r="FA15" s="553">
        <f>IF(FA$4&lt;&gt;1,"",COUNTIF(FA9:FA13,"พ"))</f>
        <v/>
      </c>
      <c r="FB15" s="553">
        <f>IF(FB$4&lt;&gt;1,"",COUNTIF(FB9:FB13,"พ"))</f>
        <v/>
      </c>
      <c r="FC15" s="553">
        <f>IF(FC$4&lt;&gt;1,"",COUNTIF(FC9:FC13,"พ"))</f>
        <v/>
      </c>
      <c r="FD15" s="553">
        <f>IF(FD$4&lt;&gt;1,"",COUNTIF(FD9:FD13,"พ"))</f>
        <v/>
      </c>
      <c r="FE15" s="553">
        <f>IF(FE$4&lt;&gt;1,"",COUNTIF(FE9:FE13,"พ"))</f>
        <v/>
      </c>
      <c r="FF15" s="553">
        <f>IF(FF$4&lt;&gt;1,"",COUNTIF(FF9:FF13,"พ"))</f>
        <v/>
      </c>
      <c r="FG15" s="553">
        <f>IF(FG$4&lt;&gt;1,"",COUNTIF(FG9:FG13,"พ"))</f>
        <v/>
      </c>
      <c r="FH15" s="553">
        <f>IF(FH$4&lt;&gt;1,"",COUNTIF(FH9:FH13,"พ"))</f>
        <v/>
      </c>
      <c r="FI15" s="553">
        <f>IF(FI$4&lt;&gt;1,"",COUNTIF(FI9:FI13,"พ"))</f>
        <v/>
      </c>
      <c r="FJ15" s="553">
        <f>IF(FJ$4&lt;&gt;1,"",COUNTIF(FJ9:FJ13,"พ"))</f>
        <v/>
      </c>
      <c r="FK15" s="553">
        <f>IF(FK$4&lt;&gt;1,"",COUNTIF(FK9:FK13,"พ"))</f>
        <v/>
      </c>
      <c r="FL15" s="553">
        <f>IF(FL$4&lt;&gt;1,"",COUNTIF(FL9:FL13,"พ"))</f>
        <v/>
      </c>
      <c r="FM15" s="553">
        <f>IF(FM$4&lt;&gt;1,"",COUNTIF(FM9:FM13,"พ"))</f>
        <v/>
      </c>
      <c r="FN15" s="553">
        <f>IF(FN$4&lt;&gt;1,"",COUNTIF(FN9:FN13,"พ"))</f>
        <v/>
      </c>
      <c r="FO15" s="554" t="n"/>
      <c r="FP15" s="555" t="n"/>
      <c r="FQ15" s="556" t="n"/>
      <c r="FR15" s="552">
        <f>IF(FR$4&lt;&gt;1,"",COUNTIF(FR9:FR13,"พ"))</f>
        <v/>
      </c>
      <c r="FS15" s="553">
        <f>IF(FS$4&lt;&gt;1,"",COUNTIF(FS9:FS13,"พ"))</f>
        <v/>
      </c>
      <c r="FT15" s="553">
        <f>IF(FT$4&lt;&gt;1,"",COUNTIF(FT9:FT13,"พ"))</f>
        <v/>
      </c>
      <c r="FU15" s="553">
        <f>IF(FU$4&lt;&gt;1,"",COUNTIF(FU9:FU13,"พ"))</f>
        <v/>
      </c>
      <c r="FV15" s="553">
        <f>IF(FV$4&lt;&gt;1,"",COUNTIF(FV9:FV13,"พ"))</f>
        <v/>
      </c>
      <c r="FW15" s="553">
        <f>IF(FW$4&lt;&gt;1,"",COUNTIF(FW9:FW13,"พ"))</f>
        <v/>
      </c>
      <c r="FX15" s="553">
        <f>IF(FX$4&lt;&gt;1,"",COUNTIF(FX9:FX13,"พ"))</f>
        <v/>
      </c>
      <c r="FY15" s="553">
        <f>IF(FY$4&lt;&gt;1,"",COUNTIF(FY9:FY13,"พ"))</f>
        <v/>
      </c>
      <c r="FZ15" s="553">
        <f>IF(FZ$4&lt;&gt;1,"",COUNTIF(FZ9:FZ13,"พ"))</f>
        <v/>
      </c>
      <c r="GA15" s="553">
        <f>IF(GA$4&lt;&gt;1,"",COUNTIF(GA9:GA13,"พ"))</f>
        <v/>
      </c>
      <c r="GB15" s="553">
        <f>IF(GB$4&lt;&gt;1,"",COUNTIF(GB9:GB13,"พ"))</f>
        <v/>
      </c>
      <c r="GC15" s="553">
        <f>IF(GC$4&lt;&gt;1,"",COUNTIF(GC9:GC13,"พ"))</f>
        <v/>
      </c>
      <c r="GD15" s="553">
        <f>IF(GD$4&lt;&gt;1,"",COUNTIF(GD9:GD13,"พ"))</f>
        <v/>
      </c>
      <c r="GE15" s="553">
        <f>IF(GE$4&lt;&gt;1,"",COUNTIF(GE9:GE13,"พ"))</f>
        <v/>
      </c>
      <c r="GF15" s="553">
        <f>IF(GF$4&lt;&gt;1,"",COUNTIF(GF9:GF13,"พ"))</f>
        <v/>
      </c>
      <c r="GG15" s="553">
        <f>IF(GG$4&lt;&gt;1,"",COUNTIF(GG9:GG13,"พ"))</f>
        <v/>
      </c>
      <c r="GH15" s="553">
        <f>IF(GH$4&lt;&gt;1,"",COUNTIF(GH9:GH13,"พ"))</f>
        <v/>
      </c>
      <c r="GI15" s="553">
        <f>IF(GI$4&lt;&gt;1,"",COUNTIF(GI9:GI13,"พ"))</f>
        <v/>
      </c>
      <c r="GJ15" s="553">
        <f>IF(GJ$4&lt;&gt;1,"",COUNTIF(GJ9:GJ13,"พ"))</f>
        <v/>
      </c>
      <c r="GK15" s="553">
        <f>IF(GK$4&lt;&gt;1,"",COUNTIF(GK9:GK13,"พ"))</f>
        <v/>
      </c>
      <c r="GL15" s="553">
        <f>IF(GL$4&lt;&gt;1,"",COUNTIF(GL9:GL13,"พ"))</f>
        <v/>
      </c>
      <c r="GM15" s="553">
        <f>IF(GM$4&lt;&gt;1,"",COUNTIF(GM9:GM13,"พ"))</f>
        <v/>
      </c>
      <c r="GN15" s="553">
        <f>IF(GN$4&lt;&gt;1,"",COUNTIF(GN9:GN13,"พ"))</f>
        <v/>
      </c>
      <c r="GO15" s="553">
        <f>IF(GO$4&lt;&gt;1,"",COUNTIF(GO9:GO13,"พ"))</f>
        <v/>
      </c>
      <c r="GP15" s="553">
        <f>IF(GP$4&lt;&gt;1,"",COUNTIF(GP9:GP13,"พ"))</f>
        <v/>
      </c>
      <c r="GQ15" s="553">
        <f>IF(GQ$4&lt;&gt;1,"",COUNTIF(GQ9:GQ13,"พ"))</f>
        <v/>
      </c>
      <c r="GR15" s="553">
        <f>IF(GR$4&lt;&gt;1,"",COUNTIF(GR9:GR13,"พ"))</f>
        <v/>
      </c>
      <c r="GS15" s="553">
        <f>IF(GS$4&lt;&gt;1,"",COUNTIF(GS9:GS13,"พ"))</f>
        <v/>
      </c>
      <c r="GT15" s="553">
        <f>IF(GT$4&lt;&gt;1,"",COUNTIF(GT9:GT13,"พ"))</f>
        <v/>
      </c>
      <c r="GU15" s="553">
        <f>IF(GU$4&lt;&gt;1,"",COUNTIF(GU9:GU13,"พ"))</f>
        <v/>
      </c>
      <c r="GV15" s="553">
        <f>IF(GV$4&lt;&gt;1,"",COUNTIF(GV9:GV13,"พ"))</f>
        <v/>
      </c>
      <c r="GW15" s="554" t="n"/>
      <c r="GX15" s="555" t="n"/>
      <c r="GY15" s="556" t="n"/>
    </row>
    <row r="16">
      <c r="A16" s="551" t="inlineStr">
        <is>
          <t>ไม่นอน (คน)</t>
        </is>
      </c>
      <c r="B16" s="184" t="n"/>
      <c r="C16" s="184" t="n"/>
      <c r="D16" s="552">
        <f>IF(D$4&lt;&gt;1,"",COUNTIF(D9:D13,"ง"))</f>
        <v/>
      </c>
      <c r="E16" s="553">
        <f>IF(E$4&lt;&gt;1,"",COUNTIF(E9:E13,"ง"))</f>
        <v/>
      </c>
      <c r="F16" s="553">
        <f>IF(F$4&lt;&gt;1,"",COUNTIF(F9:F13,"ง"))</f>
        <v/>
      </c>
      <c r="G16" s="553">
        <f>IF(G$4&lt;&gt;1,"",COUNTIF(G9:G13,"ง"))</f>
        <v/>
      </c>
      <c r="H16" s="553">
        <f>IF(H$4&lt;&gt;1,"",COUNTIF(H9:H13,"ง"))</f>
        <v/>
      </c>
      <c r="I16" s="553">
        <f>IF(I$4&lt;&gt;1,"",COUNTIF(I9:I13,"ง"))</f>
        <v/>
      </c>
      <c r="J16" s="553">
        <f>IF(J$4&lt;&gt;1,"",COUNTIF(J9:J13,"ง"))</f>
        <v/>
      </c>
      <c r="K16" s="553">
        <f>IF(K$4&lt;&gt;1,"",COUNTIF(K9:K13,"ง"))</f>
        <v/>
      </c>
      <c r="L16" s="553">
        <f>IF(L$4&lt;&gt;1,"",COUNTIF(L9:L13,"ง"))</f>
        <v/>
      </c>
      <c r="M16" s="553">
        <f>IF(M$4&lt;&gt;1,"",COUNTIF(M9:M13,"ง"))</f>
        <v/>
      </c>
      <c r="N16" s="553">
        <f>IF(N$4&lt;&gt;1,"",COUNTIF(N9:N13,"ง"))</f>
        <v/>
      </c>
      <c r="O16" s="553">
        <f>IF(O$4&lt;&gt;1,"",COUNTIF(O9:O13,"ง"))</f>
        <v/>
      </c>
      <c r="P16" s="553">
        <f>IF(P$4&lt;&gt;1,"",COUNTIF(P9:P13,"ง"))</f>
        <v/>
      </c>
      <c r="Q16" s="553">
        <f>IF(Q$4&lt;&gt;1,"",COUNTIF(Q9:Q13,"ง"))</f>
        <v/>
      </c>
      <c r="R16" s="553">
        <f>IF(R$4&lt;&gt;1,"",COUNTIF(R9:R13,"ง"))</f>
        <v/>
      </c>
      <c r="S16" s="553">
        <f>IF(S$4&lt;&gt;1,"",COUNTIF(S9:S13,"ง"))</f>
        <v/>
      </c>
      <c r="T16" s="553">
        <f>IF(T$4&lt;&gt;1,"",COUNTIF(T9:T13,"ง"))</f>
        <v/>
      </c>
      <c r="U16" s="553">
        <f>IF(U$4&lt;&gt;1,"",COUNTIF(U9:U13,"ง"))</f>
        <v/>
      </c>
      <c r="V16" s="553">
        <f>IF(V$4&lt;&gt;1,"",COUNTIF(V9:V13,"ง"))</f>
        <v/>
      </c>
      <c r="W16" s="553">
        <f>IF(W$4&lt;&gt;1,"",COUNTIF(W9:W13,"ง"))</f>
        <v/>
      </c>
      <c r="X16" s="553">
        <f>IF(X$4&lt;&gt;1,"",COUNTIF(X9:X13,"ง"))</f>
        <v/>
      </c>
      <c r="Y16" s="553">
        <f>IF(Y$4&lt;&gt;1,"",COUNTIF(Y9:Y13,"ง"))</f>
        <v/>
      </c>
      <c r="Z16" s="553">
        <f>IF(Z$4&lt;&gt;1,"",COUNTIF(Z9:Z13,"ง"))</f>
        <v/>
      </c>
      <c r="AA16" s="553">
        <f>IF(AA$4&lt;&gt;1,"",COUNTIF(AA9:AA13,"ง"))</f>
        <v/>
      </c>
      <c r="AB16" s="553">
        <f>IF(AB$4&lt;&gt;1,"",COUNTIF(AB9:AB13,"ง"))</f>
        <v/>
      </c>
      <c r="AC16" s="553">
        <f>IF(AC$4&lt;&gt;1,"",COUNTIF(AC9:AC13,"ง"))</f>
        <v/>
      </c>
      <c r="AD16" s="553">
        <f>IF(AD$4&lt;&gt;1,"",COUNTIF(AD9:AD13,"ง"))</f>
        <v/>
      </c>
      <c r="AE16" s="553">
        <f>IF(AE$4&lt;&gt;1,"",COUNTIF(AE9:AE13,"ง"))</f>
        <v/>
      </c>
      <c r="AF16" s="553">
        <f>IF(AF$4&lt;&gt;1,"",COUNTIF(AF9:AF13,"ง"))</f>
        <v/>
      </c>
      <c r="AG16" s="553">
        <f>IF(AG$4&lt;&gt;1,"",COUNTIF(AG9:AG13,"ง"))</f>
        <v/>
      </c>
      <c r="AH16" s="553">
        <f>IF(AH$4&lt;&gt;1,"",COUNTIF(AH9:AH13,"ง"))</f>
        <v/>
      </c>
      <c r="AI16" s="554" t="n"/>
      <c r="AJ16" s="555" t="n"/>
      <c r="AK16" s="556" t="n"/>
      <c r="AL16" s="552">
        <f>IF(AL$4&lt;&gt;1,"",COUNTIF(AL9:AL13,"ง"))</f>
        <v/>
      </c>
      <c r="AM16" s="553">
        <f>IF(AM$4&lt;&gt;1,"",COUNTIF(AM9:AM13,"ง"))</f>
        <v/>
      </c>
      <c r="AN16" s="553">
        <f>IF(AN$4&lt;&gt;1,"",COUNTIF(AN9:AN13,"ง"))</f>
        <v/>
      </c>
      <c r="AO16" s="553">
        <f>IF(AO$4&lt;&gt;1,"",COUNTIF(AO9:AO13,"ง"))</f>
        <v/>
      </c>
      <c r="AP16" s="553">
        <f>IF(AP$4&lt;&gt;1,"",COUNTIF(AP9:AP13,"ง"))</f>
        <v/>
      </c>
      <c r="AQ16" s="553">
        <f>IF(AQ$4&lt;&gt;1,"",COUNTIF(AQ9:AQ13,"ง"))</f>
        <v/>
      </c>
      <c r="AR16" s="553">
        <f>IF(AR$4&lt;&gt;1,"",COUNTIF(AR9:AR13,"ง"))</f>
        <v/>
      </c>
      <c r="AS16" s="553">
        <f>IF(AS$4&lt;&gt;1,"",COUNTIF(AS9:AS13,"ง"))</f>
        <v/>
      </c>
      <c r="AT16" s="553">
        <f>IF(AT$4&lt;&gt;1,"",COUNTIF(AT9:AT13,"ง"))</f>
        <v/>
      </c>
      <c r="AU16" s="553">
        <f>IF(AU$4&lt;&gt;1,"",COUNTIF(AU9:AU13,"ง"))</f>
        <v/>
      </c>
      <c r="AV16" s="553">
        <f>IF(AV$4&lt;&gt;1,"",COUNTIF(AV9:AV13,"ง"))</f>
        <v/>
      </c>
      <c r="AW16" s="553">
        <f>IF(AW$4&lt;&gt;1,"",COUNTIF(AW9:AW13,"ง"))</f>
        <v/>
      </c>
      <c r="AX16" s="553">
        <f>IF(AX$4&lt;&gt;1,"",COUNTIF(AX9:AX13,"ง"))</f>
        <v/>
      </c>
      <c r="AY16" s="553">
        <f>IF(AY$4&lt;&gt;1,"",COUNTIF(AY9:AY13,"ง"))</f>
        <v/>
      </c>
      <c r="AZ16" s="553">
        <f>IF(AZ$4&lt;&gt;1,"",COUNTIF(AZ9:AZ13,"ง"))</f>
        <v/>
      </c>
      <c r="BA16" s="553">
        <f>IF(BA$4&lt;&gt;1,"",COUNTIF(BA9:BA13,"ง"))</f>
        <v/>
      </c>
      <c r="BB16" s="553">
        <f>IF(BB$4&lt;&gt;1,"",COUNTIF(BB9:BB13,"ง"))</f>
        <v/>
      </c>
      <c r="BC16" s="553">
        <f>IF(BC$4&lt;&gt;1,"",COUNTIF(BC9:BC13,"ง"))</f>
        <v/>
      </c>
      <c r="BD16" s="553">
        <f>IF(BD$4&lt;&gt;1,"",COUNTIF(BD9:BD13,"ง"))</f>
        <v/>
      </c>
      <c r="BE16" s="553">
        <f>IF(BE$4&lt;&gt;1,"",COUNTIF(BE9:BE13,"ง"))</f>
        <v/>
      </c>
      <c r="BF16" s="553">
        <f>IF(BF$4&lt;&gt;1,"",COUNTIF(BF9:BF13,"ง"))</f>
        <v/>
      </c>
      <c r="BG16" s="553">
        <f>IF(BG$4&lt;&gt;1,"",COUNTIF(BG9:BG13,"ง"))</f>
        <v/>
      </c>
      <c r="BH16" s="553">
        <f>IF(BH$4&lt;&gt;1,"",COUNTIF(BH9:BH13,"ง"))</f>
        <v/>
      </c>
      <c r="BI16" s="553">
        <f>IF(BI$4&lt;&gt;1,"",COUNTIF(BI9:BI13,"ง"))</f>
        <v/>
      </c>
      <c r="BJ16" s="553">
        <f>IF(BJ$4&lt;&gt;1,"",COUNTIF(BJ9:BJ13,"ง"))</f>
        <v/>
      </c>
      <c r="BK16" s="553">
        <f>IF(BK$4&lt;&gt;1,"",COUNTIF(BK9:BK13,"ง"))</f>
        <v/>
      </c>
      <c r="BL16" s="553">
        <f>IF(BL$4&lt;&gt;1,"",COUNTIF(BL9:BL13,"ง"))</f>
        <v/>
      </c>
      <c r="BM16" s="553">
        <f>IF(BM$4&lt;&gt;1,"",COUNTIF(BM9:BM13,"ง"))</f>
        <v/>
      </c>
      <c r="BN16" s="553">
        <f>IF(BN$4&lt;&gt;1,"",COUNTIF(BN9:BN13,"ง"))</f>
        <v/>
      </c>
      <c r="BO16" s="553">
        <f>IF(BO$4&lt;&gt;1,"",COUNTIF(BO9:BO13,"ง"))</f>
        <v/>
      </c>
      <c r="BP16" s="553">
        <f>IF(BP$4&lt;&gt;1,"",COUNTIF(BP9:BP13,"ง"))</f>
        <v/>
      </c>
      <c r="BQ16" s="554" t="n"/>
      <c r="BR16" s="555" t="n"/>
      <c r="BS16" s="556" t="n"/>
      <c r="BT16" s="552">
        <f>IF(BT$4&lt;&gt;1,"",COUNTIF(BT9:BT13,"ง"))</f>
        <v/>
      </c>
      <c r="BU16" s="553">
        <f>IF(BU$4&lt;&gt;1,"",COUNTIF(BU9:BU13,"ง"))</f>
        <v/>
      </c>
      <c r="BV16" s="553">
        <f>IF(BV$4&lt;&gt;1,"",COUNTIF(BV9:BV13,"ง"))</f>
        <v/>
      </c>
      <c r="BW16" s="553">
        <f>IF(BW$4&lt;&gt;1,"",COUNTIF(BW9:BW13,"ง"))</f>
        <v/>
      </c>
      <c r="BX16" s="553">
        <f>IF(BX$4&lt;&gt;1,"",COUNTIF(BX9:BX13,"ง"))</f>
        <v/>
      </c>
      <c r="BY16" s="553">
        <f>IF(BY$4&lt;&gt;1,"",COUNTIF(BY9:BY13,"ง"))</f>
        <v/>
      </c>
      <c r="BZ16" s="553">
        <f>IF(BZ$4&lt;&gt;1,"",COUNTIF(BZ9:BZ13,"ง"))</f>
        <v/>
      </c>
      <c r="CA16" s="553">
        <f>IF(CA$4&lt;&gt;1,"",COUNTIF(CA9:CA13,"ง"))</f>
        <v/>
      </c>
      <c r="CB16" s="553">
        <f>IF(CB$4&lt;&gt;1,"",COUNTIF(CB9:CB13,"ง"))</f>
        <v/>
      </c>
      <c r="CC16" s="553">
        <f>IF(CC$4&lt;&gt;1,"",COUNTIF(CC9:CC13,"ง"))</f>
        <v/>
      </c>
      <c r="CD16" s="553">
        <f>IF(CD$4&lt;&gt;1,"",COUNTIF(CD9:CD13,"ง"))</f>
        <v/>
      </c>
      <c r="CE16" s="553">
        <f>IF(CE$4&lt;&gt;1,"",COUNTIF(CE9:CE13,"ง"))</f>
        <v/>
      </c>
      <c r="CF16" s="553">
        <f>IF(CF$4&lt;&gt;1,"",COUNTIF(CF9:CF13,"ง"))</f>
        <v/>
      </c>
      <c r="CG16" s="553">
        <f>IF(CG$4&lt;&gt;1,"",COUNTIF(CG9:CG13,"ง"))</f>
        <v/>
      </c>
      <c r="CH16" s="553">
        <f>IF(CH$4&lt;&gt;1,"",COUNTIF(CH9:CH13,"ง"))</f>
        <v/>
      </c>
      <c r="CI16" s="553">
        <f>IF(CI$4&lt;&gt;1,"",COUNTIF(CI9:CI13,"ง"))</f>
        <v/>
      </c>
      <c r="CJ16" s="553">
        <f>IF(CJ$4&lt;&gt;1,"",COUNTIF(CJ9:CJ13,"ง"))</f>
        <v/>
      </c>
      <c r="CK16" s="553">
        <f>IF(CK$4&lt;&gt;1,"",COUNTIF(CK9:CK13,"ง"))</f>
        <v/>
      </c>
      <c r="CL16" s="553">
        <f>IF(CL$4&lt;&gt;1,"",COUNTIF(CL9:CL13,"ง"))</f>
        <v/>
      </c>
      <c r="CM16" s="553">
        <f>IF(CM$4&lt;&gt;1,"",COUNTIF(CM9:CM13,"ง"))</f>
        <v/>
      </c>
      <c r="CN16" s="553">
        <f>IF(CN$4&lt;&gt;1,"",COUNTIF(CN9:CN13,"ง"))</f>
        <v/>
      </c>
      <c r="CO16" s="553">
        <f>IF(CO$4&lt;&gt;1,"",COUNTIF(CO9:CO13,"ง"))</f>
        <v/>
      </c>
      <c r="CP16" s="553">
        <f>IF(CP$4&lt;&gt;1,"",COUNTIF(CP9:CP13,"ง"))</f>
        <v/>
      </c>
      <c r="CQ16" s="553">
        <f>IF(CQ$4&lt;&gt;1,"",COUNTIF(CQ9:CQ13,"ง"))</f>
        <v/>
      </c>
      <c r="CR16" s="553">
        <f>IF(CR$4&lt;&gt;1,"",COUNTIF(CR9:CR13,"ง"))</f>
        <v/>
      </c>
      <c r="CS16" s="553">
        <f>IF(CS$4&lt;&gt;1,"",COUNTIF(CS9:CS13,"ง"))</f>
        <v/>
      </c>
      <c r="CT16" s="553">
        <f>IF(CT$4&lt;&gt;1,"",COUNTIF(CT9:CT13,"ง"))</f>
        <v/>
      </c>
      <c r="CU16" s="553">
        <f>IF(CU$4&lt;&gt;1,"",COUNTIF(CU9:CU13,"ง"))</f>
        <v/>
      </c>
      <c r="CV16" s="553">
        <f>IF(CV$4&lt;&gt;1,"",COUNTIF(CV9:CV13,"ง"))</f>
        <v/>
      </c>
      <c r="CW16" s="553">
        <f>IF(CW$4&lt;&gt;1,"",COUNTIF(CW9:CW13,"ง"))</f>
        <v/>
      </c>
      <c r="CX16" s="553">
        <f>IF(CX$4&lt;&gt;1,"",COUNTIF(CX9:CX13,"ง"))</f>
        <v/>
      </c>
      <c r="CY16" s="554" t="n"/>
      <c r="CZ16" s="555" t="n"/>
      <c r="DA16" s="556" t="n"/>
      <c r="DB16" s="552">
        <f>IF(DB$4&lt;&gt;1,"",COUNTIF(DB9:DB13,"ง"))</f>
        <v/>
      </c>
      <c r="DC16" s="553">
        <f>IF(DC$4&lt;&gt;1,"",COUNTIF(DC9:DC13,"ง"))</f>
        <v/>
      </c>
      <c r="DD16" s="553">
        <f>IF(DD$4&lt;&gt;1,"",COUNTIF(DD9:DD13,"ง"))</f>
        <v/>
      </c>
      <c r="DE16" s="553">
        <f>IF(DE$4&lt;&gt;1,"",COUNTIF(DE9:DE13,"ง"))</f>
        <v/>
      </c>
      <c r="DF16" s="553">
        <f>IF(DF$4&lt;&gt;1,"",COUNTIF(DF9:DF13,"ง"))</f>
        <v/>
      </c>
      <c r="DG16" s="553">
        <f>IF(DG$4&lt;&gt;1,"",COUNTIF(DG9:DG13,"ง"))</f>
        <v/>
      </c>
      <c r="DH16" s="553">
        <f>IF(DH$4&lt;&gt;1,"",COUNTIF(DH9:DH13,"ง"))</f>
        <v/>
      </c>
      <c r="DI16" s="553">
        <f>IF(DI$4&lt;&gt;1,"",COUNTIF(DI9:DI13,"ง"))</f>
        <v/>
      </c>
      <c r="DJ16" s="553">
        <f>IF(DJ$4&lt;&gt;1,"",COUNTIF(DJ9:DJ13,"ง"))</f>
        <v/>
      </c>
      <c r="DK16" s="553">
        <f>IF(DK$4&lt;&gt;1,"",COUNTIF(DK9:DK13,"ง"))</f>
        <v/>
      </c>
      <c r="DL16" s="553">
        <f>IF(DL$4&lt;&gt;1,"",COUNTIF(DL9:DL13,"ง"))</f>
        <v/>
      </c>
      <c r="DM16" s="553">
        <f>IF(DM$4&lt;&gt;1,"",COUNTIF(DM9:DM13,"ง"))</f>
        <v/>
      </c>
      <c r="DN16" s="553">
        <f>IF(DN$4&lt;&gt;1,"",COUNTIF(DN9:DN13,"ง"))</f>
        <v/>
      </c>
      <c r="DO16" s="553">
        <f>IF(DO$4&lt;&gt;1,"",COUNTIF(DO9:DO13,"ง"))</f>
        <v/>
      </c>
      <c r="DP16" s="553">
        <f>IF(DP$4&lt;&gt;1,"",COUNTIF(DP9:DP13,"ง"))</f>
        <v/>
      </c>
      <c r="DQ16" s="553">
        <f>IF(DQ$4&lt;&gt;1,"",COUNTIF(DQ9:DQ13,"ง"))</f>
        <v/>
      </c>
      <c r="DR16" s="553">
        <f>IF(DR$4&lt;&gt;1,"",COUNTIF(DR9:DR13,"ง"))</f>
        <v/>
      </c>
      <c r="DS16" s="553">
        <f>IF(DS$4&lt;&gt;1,"",COUNTIF(DS9:DS13,"ง"))</f>
        <v/>
      </c>
      <c r="DT16" s="553">
        <f>IF(DT$4&lt;&gt;1,"",COUNTIF(DT9:DT13,"ง"))</f>
        <v/>
      </c>
      <c r="DU16" s="553">
        <f>IF(DU$4&lt;&gt;1,"",COUNTIF(DU9:DU13,"ง"))</f>
        <v/>
      </c>
      <c r="DV16" s="553">
        <f>IF(DV$4&lt;&gt;1,"",COUNTIF(DV9:DV13,"ง"))</f>
        <v/>
      </c>
      <c r="DW16" s="553">
        <f>IF(DW$4&lt;&gt;1,"",COUNTIF(DW9:DW13,"ง"))</f>
        <v/>
      </c>
      <c r="DX16" s="553">
        <f>IF(DX$4&lt;&gt;1,"",COUNTIF(DX9:DX13,"ง"))</f>
        <v/>
      </c>
      <c r="DY16" s="553">
        <f>IF(DY$4&lt;&gt;1,"",COUNTIF(DY9:DY13,"ง"))</f>
        <v/>
      </c>
      <c r="DZ16" s="553">
        <f>IF(DZ$4&lt;&gt;1,"",COUNTIF(DZ9:DZ13,"ง"))</f>
        <v/>
      </c>
      <c r="EA16" s="553">
        <f>IF(EA$4&lt;&gt;1,"",COUNTIF(EA9:EA13,"ง"))</f>
        <v/>
      </c>
      <c r="EB16" s="553">
        <f>IF(EB$4&lt;&gt;1,"",COUNTIF(EB9:EB13,"ง"))</f>
        <v/>
      </c>
      <c r="EC16" s="553">
        <f>IF(EC$4&lt;&gt;1,"",COUNTIF(EC9:EC13,"ง"))</f>
        <v/>
      </c>
      <c r="ED16" s="553">
        <f>IF(ED$4&lt;&gt;1,"",COUNTIF(ED9:ED13,"ง"))</f>
        <v/>
      </c>
      <c r="EE16" s="553">
        <f>IF(EE$4&lt;&gt;1,"",COUNTIF(EE9:EE13,"ง"))</f>
        <v/>
      </c>
      <c r="EF16" s="553">
        <f>IF(EF$4&lt;&gt;1,"",COUNTIF(EF9:EF13,"ง"))</f>
        <v/>
      </c>
      <c r="EG16" s="554" t="n"/>
      <c r="EH16" s="555" t="n"/>
      <c r="EI16" s="556" t="n"/>
      <c r="EJ16" s="552">
        <f>IF(EJ$4&lt;&gt;1,"",COUNTIF(EJ9:EJ13,"ง"))</f>
        <v/>
      </c>
      <c r="EK16" s="553">
        <f>IF(EK$4&lt;&gt;1,"",COUNTIF(EK9:EK13,"ง"))</f>
        <v/>
      </c>
      <c r="EL16" s="553">
        <f>IF(EL$4&lt;&gt;1,"",COUNTIF(EL9:EL13,"ง"))</f>
        <v/>
      </c>
      <c r="EM16" s="553">
        <f>IF(EM$4&lt;&gt;1,"",COUNTIF(EM9:EM13,"ง"))</f>
        <v/>
      </c>
      <c r="EN16" s="553">
        <f>IF(EN$4&lt;&gt;1,"",COUNTIF(EN9:EN13,"ง"))</f>
        <v/>
      </c>
      <c r="EO16" s="553">
        <f>IF(EO$4&lt;&gt;1,"",COUNTIF(EO9:EO13,"ง"))</f>
        <v/>
      </c>
      <c r="EP16" s="553">
        <f>IF(EP$4&lt;&gt;1,"",COUNTIF(EP9:EP13,"ง"))</f>
        <v/>
      </c>
      <c r="EQ16" s="553">
        <f>IF(EQ$4&lt;&gt;1,"",COUNTIF(EQ9:EQ13,"ง"))</f>
        <v/>
      </c>
      <c r="ER16" s="553">
        <f>IF(ER$4&lt;&gt;1,"",COUNTIF(ER9:ER13,"ง"))</f>
        <v/>
      </c>
      <c r="ES16" s="553">
        <f>IF(ES$4&lt;&gt;1,"",COUNTIF(ES9:ES13,"ง"))</f>
        <v/>
      </c>
      <c r="ET16" s="553">
        <f>IF(ET$4&lt;&gt;1,"",COUNTIF(ET9:ET13,"ง"))</f>
        <v/>
      </c>
      <c r="EU16" s="553">
        <f>IF(EU$4&lt;&gt;1,"",COUNTIF(EU9:EU13,"ง"))</f>
        <v/>
      </c>
      <c r="EV16" s="553">
        <f>IF(EV$4&lt;&gt;1,"",COUNTIF(EV9:EV13,"ง"))</f>
        <v/>
      </c>
      <c r="EW16" s="553">
        <f>IF(EW$4&lt;&gt;1,"",COUNTIF(EW9:EW13,"ง"))</f>
        <v/>
      </c>
      <c r="EX16" s="553">
        <f>IF(EX$4&lt;&gt;1,"",COUNTIF(EX9:EX13,"ง"))</f>
        <v/>
      </c>
      <c r="EY16" s="553">
        <f>IF(EY$4&lt;&gt;1,"",COUNTIF(EY9:EY13,"ง"))</f>
        <v/>
      </c>
      <c r="EZ16" s="553">
        <f>IF(EZ$4&lt;&gt;1,"",COUNTIF(EZ9:EZ13,"ง"))</f>
        <v/>
      </c>
      <c r="FA16" s="553">
        <f>IF(FA$4&lt;&gt;1,"",COUNTIF(FA9:FA13,"ง"))</f>
        <v/>
      </c>
      <c r="FB16" s="553">
        <f>IF(FB$4&lt;&gt;1,"",COUNTIF(FB9:FB13,"ง"))</f>
        <v/>
      </c>
      <c r="FC16" s="553">
        <f>IF(FC$4&lt;&gt;1,"",COUNTIF(FC9:FC13,"ง"))</f>
        <v/>
      </c>
      <c r="FD16" s="553">
        <f>IF(FD$4&lt;&gt;1,"",COUNTIF(FD9:FD13,"ง"))</f>
        <v/>
      </c>
      <c r="FE16" s="553">
        <f>IF(FE$4&lt;&gt;1,"",COUNTIF(FE9:FE13,"ง"))</f>
        <v/>
      </c>
      <c r="FF16" s="553">
        <f>IF(FF$4&lt;&gt;1,"",COUNTIF(FF9:FF13,"ง"))</f>
        <v/>
      </c>
      <c r="FG16" s="553">
        <f>IF(FG$4&lt;&gt;1,"",COUNTIF(FG9:FG13,"ง"))</f>
        <v/>
      </c>
      <c r="FH16" s="553">
        <f>IF(FH$4&lt;&gt;1,"",COUNTIF(FH9:FH13,"ง"))</f>
        <v/>
      </c>
      <c r="FI16" s="553">
        <f>IF(FI$4&lt;&gt;1,"",COUNTIF(FI9:FI13,"ง"))</f>
        <v/>
      </c>
      <c r="FJ16" s="553">
        <f>IF(FJ$4&lt;&gt;1,"",COUNTIF(FJ9:FJ13,"ง"))</f>
        <v/>
      </c>
      <c r="FK16" s="553">
        <f>IF(FK$4&lt;&gt;1,"",COUNTIF(FK9:FK13,"ง"))</f>
        <v/>
      </c>
      <c r="FL16" s="553">
        <f>IF(FL$4&lt;&gt;1,"",COUNTIF(FL9:FL13,"ง"))</f>
        <v/>
      </c>
      <c r="FM16" s="553">
        <f>IF(FM$4&lt;&gt;1,"",COUNTIF(FM9:FM13,"ง"))</f>
        <v/>
      </c>
      <c r="FN16" s="553">
        <f>IF(FN$4&lt;&gt;1,"",COUNTIF(FN9:FN13,"ง"))</f>
        <v/>
      </c>
      <c r="FO16" s="554" t="n"/>
      <c r="FP16" s="555" t="n"/>
      <c r="FQ16" s="556" t="n"/>
      <c r="FR16" s="552">
        <f>IF(FR$4&lt;&gt;1,"",COUNTIF(FR9:FR13,"ง"))</f>
        <v/>
      </c>
      <c r="FS16" s="553">
        <f>IF(FS$4&lt;&gt;1,"",COUNTIF(FS9:FS13,"ง"))</f>
        <v/>
      </c>
      <c r="FT16" s="553">
        <f>IF(FT$4&lt;&gt;1,"",COUNTIF(FT9:FT13,"ง"))</f>
        <v/>
      </c>
      <c r="FU16" s="553">
        <f>IF(FU$4&lt;&gt;1,"",COUNTIF(FU9:FU13,"ง"))</f>
        <v/>
      </c>
      <c r="FV16" s="553">
        <f>IF(FV$4&lt;&gt;1,"",COUNTIF(FV9:FV13,"ง"))</f>
        <v/>
      </c>
      <c r="FW16" s="553">
        <f>IF(FW$4&lt;&gt;1,"",COUNTIF(FW9:FW13,"ง"))</f>
        <v/>
      </c>
      <c r="FX16" s="553">
        <f>IF(FX$4&lt;&gt;1,"",COUNTIF(FX9:FX13,"ง"))</f>
        <v/>
      </c>
      <c r="FY16" s="553">
        <f>IF(FY$4&lt;&gt;1,"",COUNTIF(FY9:FY13,"ง"))</f>
        <v/>
      </c>
      <c r="FZ16" s="553">
        <f>IF(FZ$4&lt;&gt;1,"",COUNTIF(FZ9:FZ13,"ง"))</f>
        <v/>
      </c>
      <c r="GA16" s="553">
        <f>IF(GA$4&lt;&gt;1,"",COUNTIF(GA9:GA13,"ง"))</f>
        <v/>
      </c>
      <c r="GB16" s="553">
        <f>IF(GB$4&lt;&gt;1,"",COUNTIF(GB9:GB13,"ง"))</f>
        <v/>
      </c>
      <c r="GC16" s="553">
        <f>IF(GC$4&lt;&gt;1,"",COUNTIF(GC9:GC13,"ง"))</f>
        <v/>
      </c>
      <c r="GD16" s="553">
        <f>IF(GD$4&lt;&gt;1,"",COUNTIF(GD9:GD13,"ง"))</f>
        <v/>
      </c>
      <c r="GE16" s="553">
        <f>IF(GE$4&lt;&gt;1,"",COUNTIF(GE9:GE13,"ง"))</f>
        <v/>
      </c>
      <c r="GF16" s="553">
        <f>IF(GF$4&lt;&gt;1,"",COUNTIF(GF9:GF13,"ง"))</f>
        <v/>
      </c>
      <c r="GG16" s="553">
        <f>IF(GG$4&lt;&gt;1,"",COUNTIF(GG9:GG13,"ง"))</f>
        <v/>
      </c>
      <c r="GH16" s="553">
        <f>IF(GH$4&lt;&gt;1,"",COUNTIF(GH9:GH13,"ง"))</f>
        <v/>
      </c>
      <c r="GI16" s="553">
        <f>IF(GI$4&lt;&gt;1,"",COUNTIF(GI9:GI13,"ง"))</f>
        <v/>
      </c>
      <c r="GJ16" s="553">
        <f>IF(GJ$4&lt;&gt;1,"",COUNTIF(GJ9:GJ13,"ง"))</f>
        <v/>
      </c>
      <c r="GK16" s="553">
        <f>IF(GK$4&lt;&gt;1,"",COUNTIF(GK9:GK13,"ง"))</f>
        <v/>
      </c>
      <c r="GL16" s="553">
        <f>IF(GL$4&lt;&gt;1,"",COUNTIF(GL9:GL13,"ง"))</f>
        <v/>
      </c>
      <c r="GM16" s="553">
        <f>IF(GM$4&lt;&gt;1,"",COUNTIF(GM9:GM13,"ง"))</f>
        <v/>
      </c>
      <c r="GN16" s="553">
        <f>IF(GN$4&lt;&gt;1,"",COUNTIF(GN9:GN13,"ง"))</f>
        <v/>
      </c>
      <c r="GO16" s="553">
        <f>IF(GO$4&lt;&gt;1,"",COUNTIF(GO9:GO13,"ง"))</f>
        <v/>
      </c>
      <c r="GP16" s="553">
        <f>IF(GP$4&lt;&gt;1,"",COUNTIF(GP9:GP13,"ง"))</f>
        <v/>
      </c>
      <c r="GQ16" s="553">
        <f>IF(GQ$4&lt;&gt;1,"",COUNTIF(GQ9:GQ13,"ง"))</f>
        <v/>
      </c>
      <c r="GR16" s="553">
        <f>IF(GR$4&lt;&gt;1,"",COUNTIF(GR9:GR13,"ง"))</f>
        <v/>
      </c>
      <c r="GS16" s="553">
        <f>IF(GS$4&lt;&gt;1,"",COUNTIF(GS9:GS13,"ง"))</f>
        <v/>
      </c>
      <c r="GT16" s="553">
        <f>IF(GT$4&lt;&gt;1,"",COUNTIF(GT9:GT13,"ง"))</f>
        <v/>
      </c>
      <c r="GU16" s="553">
        <f>IF(GU$4&lt;&gt;1,"",COUNTIF(GU9:GU13,"ง"))</f>
        <v/>
      </c>
      <c r="GV16" s="553">
        <f>IF(GV$4&lt;&gt;1,"",COUNTIF(GV9:GV13,"ง"))</f>
        <v/>
      </c>
      <c r="GW16" s="554" t="n"/>
      <c r="GX16" s="555" t="n"/>
      <c r="GY16" s="556" t="n"/>
    </row>
    <row r="17">
      <c r="A17" s="551" t="inlineStr"/>
      <c r="B17" s="184" t="n"/>
      <c r="C17" s="184" t="n"/>
      <c r="D17" s="557" t="n"/>
      <c r="E17" s="558" t="n"/>
      <c r="F17" s="558" t="n"/>
      <c r="G17" s="558" t="n"/>
      <c r="H17" s="558" t="n"/>
      <c r="I17" s="558" t="n"/>
      <c r="J17" s="558" t="n"/>
      <c r="K17" s="558" t="n"/>
      <c r="L17" s="558" t="n"/>
      <c r="M17" s="558" t="n"/>
      <c r="N17" s="558" t="n"/>
      <c r="O17" s="558" t="n"/>
      <c r="P17" s="558" t="n"/>
      <c r="Q17" s="558" t="n"/>
      <c r="R17" s="558" t="n"/>
      <c r="S17" s="558" t="n"/>
      <c r="T17" s="558" t="n"/>
      <c r="U17" s="558" t="n"/>
      <c r="V17" s="558" t="n"/>
      <c r="W17" s="558" t="n"/>
      <c r="X17" s="558" t="n"/>
      <c r="Y17" s="558" t="n"/>
      <c r="Z17" s="558" t="n"/>
      <c r="AA17" s="558" t="n"/>
      <c r="AB17" s="558" t="n"/>
      <c r="AC17" s="558" t="n"/>
      <c r="AD17" s="558" t="n"/>
      <c r="AE17" s="558" t="n"/>
      <c r="AF17" s="558" t="n"/>
      <c r="AG17" s="558" t="n"/>
      <c r="AH17" s="558" t="n"/>
      <c r="AI17" s="554" t="n"/>
      <c r="AJ17" s="555" t="n"/>
      <c r="AK17" s="556" t="n"/>
      <c r="AL17" s="557" t="n"/>
      <c r="AM17" s="558" t="n"/>
      <c r="AN17" s="558" t="n"/>
      <c r="AO17" s="558" t="n"/>
      <c r="AP17" s="558" t="n"/>
      <c r="AQ17" s="558" t="n"/>
      <c r="AR17" s="558" t="n"/>
      <c r="AS17" s="558" t="n"/>
      <c r="AT17" s="558" t="n"/>
      <c r="AU17" s="558" t="n"/>
      <c r="AV17" s="558" t="n"/>
      <c r="AW17" s="558" t="n"/>
      <c r="AX17" s="558" t="n"/>
      <c r="AY17" s="558" t="n"/>
      <c r="AZ17" s="558" t="n"/>
      <c r="BA17" s="558" t="n"/>
      <c r="BB17" s="558" t="n"/>
      <c r="BC17" s="558" t="n"/>
      <c r="BD17" s="558" t="n"/>
      <c r="BE17" s="558" t="n"/>
      <c r="BF17" s="558" t="n"/>
      <c r="BG17" s="558" t="n"/>
      <c r="BH17" s="558" t="n"/>
      <c r="BI17" s="558" t="n"/>
      <c r="BJ17" s="558" t="n"/>
      <c r="BK17" s="558" t="n"/>
      <c r="BL17" s="558" t="n"/>
      <c r="BM17" s="558" t="n"/>
      <c r="BN17" s="558" t="n"/>
      <c r="BO17" s="558" t="n"/>
      <c r="BP17" s="558" t="n"/>
      <c r="BQ17" s="554" t="n"/>
      <c r="BR17" s="555" t="n"/>
      <c r="BS17" s="556" t="n"/>
      <c r="BT17" s="557" t="n"/>
      <c r="BU17" s="558" t="n"/>
      <c r="BV17" s="558" t="n"/>
      <c r="BW17" s="558" t="n"/>
      <c r="BX17" s="558" t="n"/>
      <c r="BY17" s="558" t="n"/>
      <c r="BZ17" s="558" t="n"/>
      <c r="CA17" s="558" t="n"/>
      <c r="CB17" s="558" t="n"/>
      <c r="CC17" s="558" t="n"/>
      <c r="CD17" s="558" t="n"/>
      <c r="CE17" s="558" t="n"/>
      <c r="CF17" s="558" t="n"/>
      <c r="CG17" s="558" t="n"/>
      <c r="CH17" s="558" t="n"/>
      <c r="CI17" s="558" t="n"/>
      <c r="CJ17" s="558" t="n"/>
      <c r="CK17" s="558" t="n"/>
      <c r="CL17" s="558" t="n"/>
      <c r="CM17" s="558" t="n"/>
      <c r="CN17" s="558" t="n"/>
      <c r="CO17" s="558" t="n"/>
      <c r="CP17" s="558" t="n"/>
      <c r="CQ17" s="558" t="n"/>
      <c r="CR17" s="558" t="n"/>
      <c r="CS17" s="558" t="n"/>
      <c r="CT17" s="558" t="n"/>
      <c r="CU17" s="558" t="n"/>
      <c r="CV17" s="558" t="n"/>
      <c r="CW17" s="558" t="n"/>
      <c r="CX17" s="558" t="n"/>
      <c r="CY17" s="554" t="n"/>
      <c r="CZ17" s="555" t="n"/>
      <c r="DA17" s="556" t="n"/>
      <c r="DB17" s="557" t="n"/>
      <c r="DC17" s="558" t="n"/>
      <c r="DD17" s="558" t="n"/>
      <c r="DE17" s="558" t="n"/>
      <c r="DF17" s="558" t="n"/>
      <c r="DG17" s="558" t="n"/>
      <c r="DH17" s="558" t="n"/>
      <c r="DI17" s="558" t="n"/>
      <c r="DJ17" s="558" t="n"/>
      <c r="DK17" s="558" t="n"/>
      <c r="DL17" s="558" t="n"/>
      <c r="DM17" s="558" t="n"/>
      <c r="DN17" s="558" t="n"/>
      <c r="DO17" s="558" t="n"/>
      <c r="DP17" s="558" t="n"/>
      <c r="DQ17" s="558" t="n"/>
      <c r="DR17" s="558" t="n"/>
      <c r="DS17" s="558" t="n"/>
      <c r="DT17" s="558" t="n"/>
      <c r="DU17" s="558" t="n"/>
      <c r="DV17" s="558" t="n"/>
      <c r="DW17" s="558" t="n"/>
      <c r="DX17" s="558" t="n"/>
      <c r="DY17" s="558" t="n"/>
      <c r="DZ17" s="558" t="n"/>
      <c r="EA17" s="558" t="n"/>
      <c r="EB17" s="558" t="n"/>
      <c r="EC17" s="558" t="n"/>
      <c r="ED17" s="558" t="n"/>
      <c r="EE17" s="558" t="n"/>
      <c r="EF17" s="558" t="n"/>
      <c r="EG17" s="554" t="n"/>
      <c r="EH17" s="555" t="n"/>
      <c r="EI17" s="556" t="n"/>
      <c r="EJ17" s="557" t="n"/>
      <c r="EK17" s="558" t="n"/>
      <c r="EL17" s="558" t="n"/>
      <c r="EM17" s="558" t="n"/>
      <c r="EN17" s="558" t="n"/>
      <c r="EO17" s="558" t="n"/>
      <c r="EP17" s="558" t="n"/>
      <c r="EQ17" s="558" t="n"/>
      <c r="ER17" s="558" t="n"/>
      <c r="ES17" s="558" t="n"/>
      <c r="ET17" s="558" t="n"/>
      <c r="EU17" s="558" t="n"/>
      <c r="EV17" s="558" t="n"/>
      <c r="EW17" s="558" t="n"/>
      <c r="EX17" s="558" t="n"/>
      <c r="EY17" s="558" t="n"/>
      <c r="EZ17" s="558" t="n"/>
      <c r="FA17" s="558" t="n"/>
      <c r="FB17" s="558" t="n"/>
      <c r="FC17" s="558" t="n"/>
      <c r="FD17" s="558" t="n"/>
      <c r="FE17" s="558" t="n"/>
      <c r="FF17" s="558" t="n"/>
      <c r="FG17" s="558" t="n"/>
      <c r="FH17" s="558" t="n"/>
      <c r="FI17" s="558" t="n"/>
      <c r="FJ17" s="558" t="n"/>
      <c r="FK17" s="558" t="n"/>
      <c r="FL17" s="558" t="n"/>
      <c r="FM17" s="558" t="n"/>
      <c r="FN17" s="558" t="n"/>
      <c r="FO17" s="554" t="n"/>
      <c r="FP17" s="555" t="n"/>
      <c r="FQ17" s="556" t="n"/>
      <c r="FR17" s="557" t="n"/>
      <c r="FS17" s="558" t="n"/>
      <c r="FT17" s="558" t="n"/>
      <c r="FU17" s="558" t="n"/>
      <c r="FV17" s="558" t="n"/>
      <c r="FW17" s="558" t="n"/>
      <c r="FX17" s="558" t="n"/>
      <c r="FY17" s="558" t="n"/>
      <c r="FZ17" s="558" t="n"/>
      <c r="GA17" s="558" t="n"/>
      <c r="GB17" s="558" t="n"/>
      <c r="GC17" s="558" t="n"/>
      <c r="GD17" s="558" t="n"/>
      <c r="GE17" s="558" t="n"/>
      <c r="GF17" s="558" t="n"/>
      <c r="GG17" s="558" t="n"/>
      <c r="GH17" s="558" t="n"/>
      <c r="GI17" s="558" t="n"/>
      <c r="GJ17" s="558" t="n"/>
      <c r="GK17" s="558" t="n"/>
      <c r="GL17" s="558" t="n"/>
      <c r="GM17" s="558" t="n"/>
      <c r="GN17" s="558" t="n"/>
      <c r="GO17" s="558" t="n"/>
      <c r="GP17" s="558" t="n"/>
      <c r="GQ17" s="558" t="n"/>
      <c r="GR17" s="558" t="n"/>
      <c r="GS17" s="558" t="n"/>
      <c r="GT17" s="558" t="n"/>
      <c r="GU17" s="558" t="n"/>
      <c r="GV17" s="558" t="n"/>
      <c r="GW17" s="554" t="n"/>
      <c r="GX17" s="555" t="n"/>
      <c r="GY17" s="55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">
      <formula>D9="น"</formula>
    </cfRule>
    <cfRule type="expression" priority="16" dxfId="11">
      <formula>D9="พ"</formula>
    </cfRule>
    <cfRule type="expression" priority="17" dxfId="2">
      <formula>D9="อ"</formula>
    </cfRule>
    <cfRule type="expression" priority="18" dxfId="11">
      <formula>D9="ช"</formula>
    </cfRule>
    <cfRule type="expression" priority="19" dxfId="1">
      <formula>D9="ร"</formula>
    </cfRule>
    <cfRule type="expression" priority="20" dxfId="12">
      <formula>D9="ผ"</formula>
    </cfRule>
    <cfRule type="expression" priority="21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น  พ  ง" type="list">
      <formula1>"น,พ,ง"</formula1>
    </dataValidation>
    <dataValidation sqref="AL9:BP13" showDropDown="0" showInputMessage="0" showErrorMessage="0" allowBlank="1" errorTitle="ตรวจสอบข้อมูล" error="ใช้รหัส: น  พ  ง" type="list">
      <formula1>"น,พ,ง"</formula1>
    </dataValidation>
    <dataValidation sqref="BT9:CX13" showDropDown="0" showInputMessage="0" showErrorMessage="0" allowBlank="1" errorTitle="ตรวจสอบข้อมูล" error="ใช้รหัส: น  พ  ง" type="list">
      <formula1>"น,พ,ง"</formula1>
    </dataValidation>
    <dataValidation sqref="DB9:EF13" showDropDown="0" showInputMessage="0" showErrorMessage="0" allowBlank="1" errorTitle="ตรวจสอบข้อมูล" error="ใช้รหัส: น  พ  ง" type="list">
      <formula1>"น,พ,ง"</formula1>
    </dataValidation>
    <dataValidation sqref="EJ9:FN13" showDropDown="0" showInputMessage="0" showErrorMessage="0" allowBlank="1" errorTitle="ตรวจสอบข้อมูล" error="ใช้รหัส: น  พ  ง" type="list">
      <formula1>"น,พ,ง"</formula1>
    </dataValidation>
    <dataValidation sqref="FR9:GV13" showDropDown="0" showInputMessage="0" showErrorMessage="0" allowBlank="1" errorTitle="ตรวจสอบข้อมูล" error="ใช้รหัส: น  พ  ง" type="list">
      <formula1>"น,พ,ง"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tabColor rgb="009EB1FD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528" t="inlineStr">
        <is>
          <t>🏠</t>
        </is>
      </c>
      <c r="B1" s="529" t="n"/>
      <c r="C1" s="529" t="n"/>
      <c r="D1" s="529" t="n"/>
      <c r="E1" s="529" t="n"/>
      <c r="F1" s="529" t="n"/>
      <c r="G1" s="529" t="n"/>
      <c r="H1" s="529" t="n"/>
      <c r="I1" s="529" t="n"/>
      <c r="J1" s="529" t="n"/>
      <c r="K1" s="529" t="n"/>
      <c r="L1" s="529" t="n"/>
      <c r="M1" s="529" t="n"/>
      <c r="N1" s="529" t="n"/>
      <c r="O1" s="529" t="n"/>
      <c r="P1" s="529" t="n"/>
      <c r="Q1" s="529" t="n"/>
      <c r="R1" s="529" t="n"/>
      <c r="S1" s="529" t="n"/>
      <c r="T1" s="529" t="n"/>
      <c r="U1" s="529" t="n"/>
      <c r="V1" s="529" t="n"/>
      <c r="W1" s="529" t="n"/>
      <c r="X1" s="529" t="n"/>
      <c r="Y1" s="529" t="n"/>
      <c r="Z1" s="529" t="n"/>
      <c r="AA1" s="529" t="n"/>
      <c r="AB1" s="529" t="n"/>
      <c r="AC1" s="529" t="n"/>
      <c r="AD1" s="529" t="n"/>
      <c r="AE1" s="529" t="n"/>
      <c r="AF1" s="529" t="n"/>
      <c r="AG1" s="529" t="n"/>
      <c r="AH1" s="529" t="n"/>
      <c r="AI1" s="529" t="n"/>
      <c r="AJ1" s="529" t="n"/>
      <c r="AK1" s="529" t="n"/>
      <c r="AL1" s="529" t="n"/>
      <c r="AM1" s="529" t="n"/>
      <c r="AN1" s="529" t="n"/>
      <c r="AO1" s="529" t="n"/>
      <c r="AP1" s="529" t="n"/>
      <c r="AQ1" s="529" t="n"/>
      <c r="AR1" s="529" t="n"/>
      <c r="AS1" s="529" t="n"/>
      <c r="AT1" s="529" t="n"/>
      <c r="AU1" s="529" t="n"/>
      <c r="AV1" s="529" t="n"/>
      <c r="AW1" s="529" t="n"/>
      <c r="AX1" s="529" t="n"/>
      <c r="AY1" s="529" t="n"/>
      <c r="AZ1" s="529" t="n"/>
      <c r="BA1" s="529" t="n"/>
      <c r="BB1" s="529" t="n"/>
      <c r="BC1" s="529" t="n"/>
      <c r="BD1" s="529" t="n"/>
      <c r="BE1" s="529" t="n"/>
      <c r="BF1" s="529" t="n"/>
      <c r="BG1" s="529" t="n"/>
      <c r="BH1" s="529" t="n"/>
      <c r="BI1" s="529" t="n"/>
      <c r="BJ1" s="529" t="n"/>
      <c r="BK1" s="529" t="n"/>
      <c r="BL1" s="529" t="n"/>
      <c r="BM1" s="529" t="n"/>
      <c r="BN1" s="529" t="n"/>
      <c r="BO1" s="529" t="n"/>
      <c r="BP1" s="529" t="n"/>
      <c r="BQ1" s="529" t="n"/>
      <c r="BR1" s="529" t="n"/>
      <c r="BS1" s="529" t="n"/>
      <c r="BT1" s="529" t="n"/>
      <c r="BU1" s="529" t="n"/>
      <c r="BV1" s="529" t="n"/>
      <c r="BW1" s="529" t="n"/>
      <c r="BX1" s="529" t="n"/>
      <c r="BY1" s="529" t="n"/>
      <c r="BZ1" s="529" t="n"/>
      <c r="CA1" s="529" t="n"/>
      <c r="CB1" s="529" t="n"/>
      <c r="CC1" s="529" t="n"/>
      <c r="CD1" s="529" t="n"/>
      <c r="CE1" s="529" t="n"/>
      <c r="CF1" s="529" t="n"/>
      <c r="CG1" s="529" t="n"/>
      <c r="CH1" s="529" t="n"/>
      <c r="CI1" s="529" t="n"/>
      <c r="CJ1" s="529" t="n"/>
      <c r="CK1" s="529" t="n"/>
      <c r="CL1" s="529" t="n"/>
      <c r="CM1" s="529" t="n"/>
      <c r="CN1" s="529" t="n"/>
      <c r="CO1" s="529" t="n"/>
      <c r="CP1" s="529" t="n"/>
      <c r="CQ1" s="529" t="n"/>
      <c r="CR1" s="529" t="n"/>
      <c r="CS1" s="529" t="n"/>
      <c r="CT1" s="529" t="n"/>
      <c r="CU1" s="529" t="n"/>
      <c r="CV1" s="529" t="n"/>
      <c r="CW1" s="529" t="n"/>
      <c r="CX1" s="529" t="n"/>
      <c r="CY1" s="529" t="n"/>
      <c r="CZ1" s="529" t="n"/>
      <c r="DA1" s="529" t="n"/>
      <c r="DB1" s="529" t="n"/>
      <c r="DC1" s="529" t="n"/>
      <c r="DD1" s="529" t="n"/>
      <c r="DE1" s="529" t="n"/>
      <c r="DF1" s="529" t="n"/>
      <c r="DG1" s="529" t="n"/>
      <c r="DH1" s="529" t="n"/>
      <c r="DI1" s="529" t="n"/>
      <c r="DJ1" s="529" t="n"/>
      <c r="DK1" s="529" t="n"/>
      <c r="DL1" s="529" t="n"/>
      <c r="DM1" s="529" t="n"/>
      <c r="DN1" s="529" t="n"/>
      <c r="DO1" s="529" t="n"/>
      <c r="DP1" s="529" t="n"/>
      <c r="DQ1" s="529" t="n"/>
      <c r="DR1" s="529" t="n"/>
      <c r="DS1" s="529" t="n"/>
      <c r="DT1" s="529" t="n"/>
      <c r="DU1" s="529" t="n"/>
      <c r="DV1" s="529" t="n"/>
      <c r="DW1" s="529" t="n"/>
      <c r="DX1" s="529" t="n"/>
      <c r="DY1" s="529" t="n"/>
      <c r="DZ1" s="529" t="n"/>
      <c r="EA1" s="529" t="n"/>
      <c r="EB1" s="529" t="n"/>
      <c r="EC1" s="529" t="n"/>
      <c r="ED1" s="529" t="n"/>
      <c r="EE1" s="529" t="n"/>
      <c r="EF1" s="529" t="n"/>
      <c r="EG1" s="529" t="n"/>
      <c r="EH1" s="529" t="n"/>
      <c r="EI1" s="529" t="n"/>
      <c r="EJ1" s="529" t="n"/>
      <c r="EK1" s="529" t="n"/>
      <c r="EL1" s="529" t="n"/>
      <c r="EM1" s="529" t="n"/>
      <c r="EN1" s="529" t="n"/>
      <c r="EO1" s="529" t="n"/>
      <c r="EP1" s="529" t="n"/>
      <c r="EQ1" s="529" t="n"/>
      <c r="ER1" s="529" t="n"/>
      <c r="ES1" s="529" t="n"/>
      <c r="ET1" s="529" t="n"/>
      <c r="EU1" s="529" t="n"/>
      <c r="EV1" s="529" t="n"/>
      <c r="EW1" s="529" t="n"/>
      <c r="EX1" s="529" t="n"/>
      <c r="EY1" s="529" t="n"/>
      <c r="EZ1" s="529" t="n"/>
      <c r="FA1" s="529" t="n"/>
      <c r="FB1" s="529" t="n"/>
      <c r="FC1" s="529" t="n"/>
      <c r="FD1" s="529" t="n"/>
      <c r="FE1" s="529" t="n"/>
      <c r="FF1" s="529" t="n"/>
      <c r="FG1" s="529" t="n"/>
      <c r="FH1" s="529" t="n"/>
      <c r="FI1" s="529" t="n"/>
      <c r="FJ1" s="529" t="n"/>
      <c r="FK1" s="529" t="n"/>
      <c r="FL1" s="529" t="n"/>
      <c r="FM1" s="529" t="n"/>
      <c r="FN1" s="529" t="n"/>
      <c r="FO1" s="529" t="n"/>
      <c r="FP1" s="529" t="n"/>
      <c r="FQ1" s="529" t="n"/>
    </row>
    <row r="2" ht="20" customHeight="1">
      <c r="A2" s="530" t="inlineStr">
        <is>
          <t>หน้าหลัก</t>
        </is>
      </c>
      <c r="B2" s="53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32" t="n"/>
      <c r="D2" s="532" t="n"/>
      <c r="E2" s="532" t="n"/>
      <c r="F2" s="532" t="n"/>
      <c r="G2" s="532" t="n"/>
      <c r="H2" s="532" t="n"/>
      <c r="I2" s="532" t="n"/>
      <c r="J2" s="532" t="n"/>
      <c r="K2" s="532" t="n"/>
      <c r="L2" s="532" t="n"/>
      <c r="M2" s="532" t="n"/>
      <c r="N2" s="532" t="n"/>
      <c r="O2" s="532" t="n"/>
      <c r="P2" s="532" t="n"/>
      <c r="Q2" s="532" t="n"/>
      <c r="R2" s="532" t="n"/>
      <c r="S2" s="532" t="n"/>
      <c r="T2" s="532" t="n"/>
      <c r="U2" s="532" t="n"/>
      <c r="V2" s="532" t="n"/>
      <c r="W2" s="532" t="n"/>
      <c r="X2" s="532" t="n"/>
      <c r="Y2" s="532" t="n"/>
      <c r="Z2" s="532" t="n"/>
      <c r="AA2" s="532" t="n"/>
      <c r="AB2" s="532" t="n"/>
      <c r="AC2" s="532" t="n"/>
      <c r="AD2" s="532" t="n"/>
      <c r="AE2" s="532" t="n"/>
      <c r="AF2" s="532" t="n"/>
      <c r="AG2" s="532" t="n"/>
      <c r="AH2" s="532" t="n"/>
      <c r="AI2" s="532" t="n"/>
      <c r="AJ2" s="532" t="n"/>
      <c r="AK2" s="532" t="n"/>
      <c r="AL2" s="532" t="n"/>
      <c r="AM2" s="532" t="n"/>
      <c r="AN2" s="532" t="n"/>
      <c r="AO2" s="532" t="n"/>
      <c r="AP2" s="532" t="n"/>
      <c r="AQ2" s="532" t="n"/>
      <c r="AR2" s="532" t="n"/>
      <c r="AS2" s="532" t="n"/>
      <c r="AT2" s="532" t="n"/>
      <c r="AU2" s="532" t="n"/>
      <c r="AV2" s="532" t="n"/>
      <c r="AW2" s="532" t="n"/>
      <c r="AX2" s="532" t="n"/>
      <c r="AY2" s="532" t="n"/>
      <c r="AZ2" s="532" t="n"/>
      <c r="BA2" s="532" t="n"/>
      <c r="BB2" s="532" t="n"/>
      <c r="BC2" s="532" t="n"/>
      <c r="BD2" s="532" t="n"/>
      <c r="BE2" s="532" t="n"/>
      <c r="BF2" s="532" t="n"/>
      <c r="BG2" s="532" t="n"/>
      <c r="BH2" s="532" t="n"/>
      <c r="BI2" s="532" t="n"/>
      <c r="BJ2" s="532" t="n"/>
      <c r="BK2" s="532" t="n"/>
      <c r="BL2" s="532" t="n"/>
      <c r="BM2" s="532" t="n"/>
      <c r="BN2" s="532" t="n"/>
      <c r="BO2" s="532" t="n"/>
      <c r="BP2" s="532" t="n"/>
      <c r="BQ2" s="532" t="n"/>
      <c r="BR2" s="532" t="n"/>
      <c r="BS2" s="532" t="n"/>
      <c r="BT2" s="532" t="n"/>
      <c r="BU2" s="532" t="n"/>
      <c r="BV2" s="532" t="n"/>
      <c r="BW2" s="532" t="n"/>
      <c r="BX2" s="532" t="n"/>
      <c r="BY2" s="532" t="n"/>
      <c r="BZ2" s="532" t="n"/>
      <c r="CA2" s="532" t="n"/>
      <c r="CB2" s="532" t="n"/>
      <c r="CC2" s="532" t="n"/>
      <c r="CD2" s="532" t="n"/>
      <c r="CE2" s="532" t="n"/>
      <c r="CF2" s="532" t="n"/>
      <c r="CG2" s="532" t="n"/>
      <c r="CH2" s="532" t="n"/>
      <c r="CI2" s="532" t="n"/>
      <c r="CJ2" s="532" t="n"/>
      <c r="CK2" s="532" t="n"/>
      <c r="CL2" s="532" t="n"/>
      <c r="CM2" s="532" t="n"/>
      <c r="CN2" s="532" t="n"/>
      <c r="CO2" s="532" t="n"/>
      <c r="CP2" s="532" t="n"/>
      <c r="CQ2" s="532" t="n"/>
      <c r="CR2" s="532" t="n"/>
      <c r="CS2" s="532" t="n"/>
      <c r="CT2" s="532" t="n"/>
      <c r="CU2" s="532" t="n"/>
      <c r="CV2" s="532" t="n"/>
      <c r="CW2" s="532" t="n"/>
      <c r="CX2" s="532" t="n"/>
      <c r="CY2" s="532" t="n"/>
      <c r="CZ2" s="532" t="n"/>
      <c r="DA2" s="532" t="n"/>
      <c r="DB2" s="532" t="n"/>
      <c r="DC2" s="532" t="n"/>
      <c r="DD2" s="532" t="n"/>
      <c r="DE2" s="532" t="n"/>
      <c r="DF2" s="532" t="n"/>
      <c r="DG2" s="532" t="n"/>
      <c r="DH2" s="532" t="n"/>
      <c r="DI2" s="532" t="n"/>
      <c r="DJ2" s="532" t="n"/>
      <c r="DK2" s="532" t="n"/>
      <c r="DL2" s="532" t="n"/>
      <c r="DM2" s="532" t="n"/>
      <c r="DN2" s="532" t="n"/>
      <c r="DO2" s="532" t="n"/>
      <c r="DP2" s="532" t="n"/>
      <c r="DQ2" s="532" t="n"/>
      <c r="DR2" s="532" t="n"/>
      <c r="DS2" s="532" t="n"/>
      <c r="DT2" s="532" t="n"/>
      <c r="DU2" s="532" t="n"/>
      <c r="DV2" s="532" t="n"/>
      <c r="DW2" s="532" t="n"/>
      <c r="DX2" s="532" t="n"/>
      <c r="DY2" s="532" t="n"/>
      <c r="DZ2" s="532" t="n"/>
      <c r="EA2" s="532" t="n"/>
      <c r="EB2" s="532" t="n"/>
      <c r="EC2" s="532" t="n"/>
      <c r="ED2" s="532" t="n"/>
      <c r="EE2" s="532" t="n"/>
      <c r="EF2" s="532" t="n"/>
      <c r="EG2" s="532" t="n"/>
      <c r="EH2" s="532" t="n"/>
      <c r="EI2" s="532" t="n"/>
      <c r="EJ2" s="532" t="n"/>
      <c r="EK2" s="532" t="n"/>
      <c r="EL2" s="532" t="n"/>
      <c r="EM2" s="532" t="n"/>
      <c r="EN2" s="532" t="n"/>
      <c r="EO2" s="532" t="n"/>
      <c r="EP2" s="532" t="n"/>
      <c r="EQ2" s="532" t="n"/>
      <c r="ER2" s="532" t="n"/>
      <c r="ES2" s="532" t="n"/>
      <c r="ET2" s="532" t="n"/>
      <c r="EU2" s="532" t="n"/>
      <c r="EV2" s="532" t="n"/>
      <c r="EW2" s="532" t="n"/>
      <c r="EX2" s="532" t="n"/>
      <c r="EY2" s="532" t="n"/>
      <c r="EZ2" s="532" t="n"/>
      <c r="FA2" s="532" t="n"/>
      <c r="FB2" s="532" t="n"/>
      <c r="FC2" s="532" t="n"/>
      <c r="FD2" s="532" t="n"/>
      <c r="FE2" s="532" t="n"/>
      <c r="FF2" s="532" t="n"/>
      <c r="FG2" s="532" t="n"/>
      <c r="FH2" s="532" t="n"/>
      <c r="FI2" s="532" t="n"/>
      <c r="FJ2" s="532" t="n"/>
      <c r="FK2" s="532" t="n"/>
      <c r="FL2" s="532" t="n"/>
      <c r="FM2" s="532" t="n"/>
      <c r="FN2" s="532" t="n"/>
      <c r="FO2" s="532" t="n"/>
      <c r="FP2" s="532" t="n"/>
      <c r="FQ2" s="532" t="n"/>
    </row>
    <row r="3" ht="18" customHeight="1">
      <c r="B3" s="533" t="inlineStr">
        <is>
          <t>รหัส   น = นอนหลับ     พ = พักผ่อน (ไม่หลับ)     ง = ไม่นอน      (พิมพ์ด้วยแป้นภาษาไทยได้เลย)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534" t="inlineStr">
        <is>
          <t>เลขที่</t>
        </is>
      </c>
      <c r="B5" s="534" t="inlineStr">
        <is>
          <t>ชื่อ - สกุล</t>
        </is>
      </c>
      <c r="C5" s="535" t="inlineStr">
        <is>
          <t>ร้อยละ
นอนหลับ</t>
        </is>
      </c>
      <c r="D5" s="536">
        <f>"เดือนพฤศจิกายน  พ.ศ. "&amp;('ข้อมูลโรงเรียน'!$C$12-543+543)</f>
        <v/>
      </c>
      <c r="AI5" s="537" t="inlineStr">
        <is>
          <t>สรุป พ.ย.</t>
        </is>
      </c>
      <c r="AL5" s="536">
        <f>"เดือนธันวาคม  พ.ศ. "&amp;('ข้อมูลโรงเรียน'!$C$12-543+543)</f>
        <v/>
      </c>
      <c r="BQ5" s="537" t="inlineStr">
        <is>
          <t>สรุป ธ.ค.</t>
        </is>
      </c>
      <c r="BT5" s="536">
        <f>"เดือนมกราคม  พ.ศ. "&amp;('ข้อมูลโรงเรียน'!$C$12-542+543)</f>
        <v/>
      </c>
      <c r="CY5" s="537" t="inlineStr">
        <is>
          <t>สรุป ม.ค.</t>
        </is>
      </c>
      <c r="DB5" s="536">
        <f>"เดือนกุมภาพันธ์  พ.ศ. "&amp;('ข้อมูลโรงเรียน'!$C$12-542+543)</f>
        <v/>
      </c>
      <c r="EG5" s="537" t="inlineStr">
        <is>
          <t>สรุป ก.พ.</t>
        </is>
      </c>
      <c r="EJ5" s="536">
        <f>"เดือนมีนาคม  พ.ศ. "&amp;('ข้อมูลโรงเรียน'!$C$12-542+543)</f>
        <v/>
      </c>
      <c r="FO5" s="537" t="inlineStr">
        <is>
          <t>สรุป มี.ค.</t>
        </is>
      </c>
    </row>
    <row r="6">
      <c r="D6" s="538">
        <f>IF('ปฏิทิน'!D5="","",DAY('ปฏิทิน'!D5))</f>
        <v/>
      </c>
      <c r="E6" s="535">
        <f>IF('ปฏิทิน'!E5="","",DAY('ปฏิทิน'!E5))</f>
        <v/>
      </c>
      <c r="F6" s="535">
        <f>IF('ปฏิทิน'!F5="","",DAY('ปฏิทิน'!F5))</f>
        <v/>
      </c>
      <c r="G6" s="535">
        <f>IF('ปฏิทิน'!G5="","",DAY('ปฏิทิน'!G5))</f>
        <v/>
      </c>
      <c r="H6" s="535">
        <f>IF('ปฏิทิน'!H5="","",DAY('ปฏิทิน'!H5))</f>
        <v/>
      </c>
      <c r="I6" s="535">
        <f>IF('ปฏิทิน'!I5="","",DAY('ปฏิทิน'!I5))</f>
        <v/>
      </c>
      <c r="J6" s="535">
        <f>IF('ปฏิทิน'!J5="","",DAY('ปฏิทิน'!J5))</f>
        <v/>
      </c>
      <c r="K6" s="535">
        <f>IF('ปฏิทิน'!K5="","",DAY('ปฏิทิน'!K5))</f>
        <v/>
      </c>
      <c r="L6" s="535">
        <f>IF('ปฏิทิน'!L5="","",DAY('ปฏิทิน'!L5))</f>
        <v/>
      </c>
      <c r="M6" s="535">
        <f>IF('ปฏิทิน'!M5="","",DAY('ปฏิทิน'!M5))</f>
        <v/>
      </c>
      <c r="N6" s="535">
        <f>IF('ปฏิทิน'!N5="","",DAY('ปฏิทิน'!N5))</f>
        <v/>
      </c>
      <c r="O6" s="535">
        <f>IF('ปฏิทิน'!O5="","",DAY('ปฏิทิน'!O5))</f>
        <v/>
      </c>
      <c r="P6" s="535">
        <f>IF('ปฏิทิน'!P5="","",DAY('ปฏิทิน'!P5))</f>
        <v/>
      </c>
      <c r="Q6" s="535">
        <f>IF('ปฏิทิน'!Q5="","",DAY('ปฏิทิน'!Q5))</f>
        <v/>
      </c>
      <c r="R6" s="535">
        <f>IF('ปฏิทิน'!R5="","",DAY('ปฏิทิน'!R5))</f>
        <v/>
      </c>
      <c r="S6" s="535">
        <f>IF('ปฏิทิน'!S5="","",DAY('ปฏิทิน'!S5))</f>
        <v/>
      </c>
      <c r="T6" s="535">
        <f>IF('ปฏิทิน'!T5="","",DAY('ปฏิทิน'!T5))</f>
        <v/>
      </c>
      <c r="U6" s="535">
        <f>IF('ปฏิทิน'!U5="","",DAY('ปฏิทิน'!U5))</f>
        <v/>
      </c>
      <c r="V6" s="535">
        <f>IF('ปฏิทิน'!V5="","",DAY('ปฏิทิน'!V5))</f>
        <v/>
      </c>
      <c r="W6" s="535">
        <f>IF('ปฏิทิน'!W5="","",DAY('ปฏิทิน'!W5))</f>
        <v/>
      </c>
      <c r="X6" s="535">
        <f>IF('ปฏิทิน'!X5="","",DAY('ปฏิทิน'!X5))</f>
        <v/>
      </c>
      <c r="Y6" s="535">
        <f>IF('ปฏิทิน'!Y5="","",DAY('ปฏิทิน'!Y5))</f>
        <v/>
      </c>
      <c r="Z6" s="535">
        <f>IF('ปฏิทิน'!Z5="","",DAY('ปฏิทิน'!Z5))</f>
        <v/>
      </c>
      <c r="AA6" s="535">
        <f>IF('ปฏิทิน'!AA5="","",DAY('ปฏิทิน'!AA5))</f>
        <v/>
      </c>
      <c r="AB6" s="535">
        <f>IF('ปฏิทิน'!AB5="","",DAY('ปฏิทิน'!AB5))</f>
        <v/>
      </c>
      <c r="AC6" s="535">
        <f>IF('ปฏิทิน'!AC5="","",DAY('ปฏิทิน'!AC5))</f>
        <v/>
      </c>
      <c r="AD6" s="535">
        <f>IF('ปฏิทิน'!AD5="","",DAY('ปฏิทิน'!AD5))</f>
        <v/>
      </c>
      <c r="AE6" s="535">
        <f>IF('ปฏิทิน'!AE5="","",DAY('ปฏิทิน'!AE5))</f>
        <v/>
      </c>
      <c r="AF6" s="535">
        <f>IF('ปฏิทิน'!AF5="","",DAY('ปฏิทิน'!AF5))</f>
        <v/>
      </c>
      <c r="AG6" s="535">
        <f>IF('ปฏิทิน'!AG5="","",DAY('ปฏิทิน'!AG5))</f>
        <v/>
      </c>
      <c r="AH6" s="535">
        <f>IF('ปฏิทิน'!AH5="","",DAY('ปฏิทิน'!AH5))</f>
        <v/>
      </c>
      <c r="AI6" s="539" t="inlineStr">
        <is>
          <t>หลับ</t>
        </is>
      </c>
      <c r="AJ6" s="540" t="inlineStr">
        <is>
          <t>พัก</t>
        </is>
      </c>
      <c r="AK6" s="541" t="inlineStr">
        <is>
          <t>ไม่
นอน</t>
        </is>
      </c>
      <c r="AL6" s="538">
        <f>IF('ปฏิทิน'!AL5="","",DAY('ปฏิทิน'!AL5))</f>
        <v/>
      </c>
      <c r="AM6" s="535">
        <f>IF('ปฏิทิน'!AM5="","",DAY('ปฏิทิน'!AM5))</f>
        <v/>
      </c>
      <c r="AN6" s="535">
        <f>IF('ปฏิทิน'!AN5="","",DAY('ปฏิทิน'!AN5))</f>
        <v/>
      </c>
      <c r="AO6" s="535">
        <f>IF('ปฏิทิน'!AO5="","",DAY('ปฏิทิน'!AO5))</f>
        <v/>
      </c>
      <c r="AP6" s="535">
        <f>IF('ปฏิทิน'!AP5="","",DAY('ปฏิทิน'!AP5))</f>
        <v/>
      </c>
      <c r="AQ6" s="535">
        <f>IF('ปฏิทิน'!AQ5="","",DAY('ปฏิทิน'!AQ5))</f>
        <v/>
      </c>
      <c r="AR6" s="535">
        <f>IF('ปฏิทิน'!AR5="","",DAY('ปฏิทิน'!AR5))</f>
        <v/>
      </c>
      <c r="AS6" s="535">
        <f>IF('ปฏิทิน'!AS5="","",DAY('ปฏิทิน'!AS5))</f>
        <v/>
      </c>
      <c r="AT6" s="535">
        <f>IF('ปฏิทิน'!AT5="","",DAY('ปฏิทิน'!AT5))</f>
        <v/>
      </c>
      <c r="AU6" s="535">
        <f>IF('ปฏิทิน'!AU5="","",DAY('ปฏิทิน'!AU5))</f>
        <v/>
      </c>
      <c r="AV6" s="535">
        <f>IF('ปฏิทิน'!AV5="","",DAY('ปฏิทิน'!AV5))</f>
        <v/>
      </c>
      <c r="AW6" s="535">
        <f>IF('ปฏิทิน'!AW5="","",DAY('ปฏิทิน'!AW5))</f>
        <v/>
      </c>
      <c r="AX6" s="535">
        <f>IF('ปฏิทิน'!AX5="","",DAY('ปฏิทิน'!AX5))</f>
        <v/>
      </c>
      <c r="AY6" s="535">
        <f>IF('ปฏิทิน'!AY5="","",DAY('ปฏิทิน'!AY5))</f>
        <v/>
      </c>
      <c r="AZ6" s="535">
        <f>IF('ปฏิทิน'!AZ5="","",DAY('ปฏิทิน'!AZ5))</f>
        <v/>
      </c>
      <c r="BA6" s="535">
        <f>IF('ปฏิทิน'!BA5="","",DAY('ปฏิทิน'!BA5))</f>
        <v/>
      </c>
      <c r="BB6" s="535">
        <f>IF('ปฏิทิน'!BB5="","",DAY('ปฏิทิน'!BB5))</f>
        <v/>
      </c>
      <c r="BC6" s="535">
        <f>IF('ปฏิทิน'!BC5="","",DAY('ปฏิทิน'!BC5))</f>
        <v/>
      </c>
      <c r="BD6" s="535">
        <f>IF('ปฏิทิน'!BD5="","",DAY('ปฏิทิน'!BD5))</f>
        <v/>
      </c>
      <c r="BE6" s="535">
        <f>IF('ปฏิทิน'!BE5="","",DAY('ปฏิทิน'!BE5))</f>
        <v/>
      </c>
      <c r="BF6" s="535">
        <f>IF('ปฏิทิน'!BF5="","",DAY('ปฏิทิน'!BF5))</f>
        <v/>
      </c>
      <c r="BG6" s="535">
        <f>IF('ปฏิทิน'!BG5="","",DAY('ปฏิทิน'!BG5))</f>
        <v/>
      </c>
      <c r="BH6" s="535">
        <f>IF('ปฏิทิน'!BH5="","",DAY('ปฏิทิน'!BH5))</f>
        <v/>
      </c>
      <c r="BI6" s="535">
        <f>IF('ปฏิทิน'!BI5="","",DAY('ปฏิทิน'!BI5))</f>
        <v/>
      </c>
      <c r="BJ6" s="535">
        <f>IF('ปฏิทิน'!BJ5="","",DAY('ปฏิทิน'!BJ5))</f>
        <v/>
      </c>
      <c r="BK6" s="535">
        <f>IF('ปฏิทิน'!BK5="","",DAY('ปฏิทิน'!BK5))</f>
        <v/>
      </c>
      <c r="BL6" s="535">
        <f>IF('ปฏิทิน'!BL5="","",DAY('ปฏิทิน'!BL5))</f>
        <v/>
      </c>
      <c r="BM6" s="535">
        <f>IF('ปฏิทิน'!BM5="","",DAY('ปฏิทิน'!BM5))</f>
        <v/>
      </c>
      <c r="BN6" s="535">
        <f>IF('ปฏิทิน'!BN5="","",DAY('ปฏิทิน'!BN5))</f>
        <v/>
      </c>
      <c r="BO6" s="535">
        <f>IF('ปฏิทิน'!BO5="","",DAY('ปฏิทิน'!BO5))</f>
        <v/>
      </c>
      <c r="BP6" s="535">
        <f>IF('ปฏิทิน'!BP5="","",DAY('ปฏิทิน'!BP5))</f>
        <v/>
      </c>
      <c r="BQ6" s="539" t="inlineStr">
        <is>
          <t>หลับ</t>
        </is>
      </c>
      <c r="BR6" s="540" t="inlineStr">
        <is>
          <t>พัก</t>
        </is>
      </c>
      <c r="BS6" s="541" t="inlineStr">
        <is>
          <t>ไม่
นอน</t>
        </is>
      </c>
      <c r="BT6" s="538">
        <f>IF('ปฏิทิน'!BT5="","",DAY('ปฏิทิน'!BT5))</f>
        <v/>
      </c>
      <c r="BU6" s="535">
        <f>IF('ปฏิทิน'!BU5="","",DAY('ปฏิทิน'!BU5))</f>
        <v/>
      </c>
      <c r="BV6" s="535">
        <f>IF('ปฏิทิน'!BV5="","",DAY('ปฏิทิน'!BV5))</f>
        <v/>
      </c>
      <c r="BW6" s="535">
        <f>IF('ปฏิทิน'!BW5="","",DAY('ปฏิทิน'!BW5))</f>
        <v/>
      </c>
      <c r="BX6" s="535">
        <f>IF('ปฏิทิน'!BX5="","",DAY('ปฏิทิน'!BX5))</f>
        <v/>
      </c>
      <c r="BY6" s="535">
        <f>IF('ปฏิทิน'!BY5="","",DAY('ปฏิทิน'!BY5))</f>
        <v/>
      </c>
      <c r="BZ6" s="535">
        <f>IF('ปฏิทิน'!BZ5="","",DAY('ปฏิทิน'!BZ5))</f>
        <v/>
      </c>
      <c r="CA6" s="535">
        <f>IF('ปฏิทิน'!CA5="","",DAY('ปฏิทิน'!CA5))</f>
        <v/>
      </c>
      <c r="CB6" s="535">
        <f>IF('ปฏิทิน'!CB5="","",DAY('ปฏิทิน'!CB5))</f>
        <v/>
      </c>
      <c r="CC6" s="535">
        <f>IF('ปฏิทิน'!CC5="","",DAY('ปฏิทิน'!CC5))</f>
        <v/>
      </c>
      <c r="CD6" s="535">
        <f>IF('ปฏิทิน'!CD5="","",DAY('ปฏิทิน'!CD5))</f>
        <v/>
      </c>
      <c r="CE6" s="535">
        <f>IF('ปฏิทิน'!CE5="","",DAY('ปฏิทิน'!CE5))</f>
        <v/>
      </c>
      <c r="CF6" s="535">
        <f>IF('ปฏิทิน'!CF5="","",DAY('ปฏิทิน'!CF5))</f>
        <v/>
      </c>
      <c r="CG6" s="535">
        <f>IF('ปฏิทิน'!CG5="","",DAY('ปฏิทิน'!CG5))</f>
        <v/>
      </c>
      <c r="CH6" s="535">
        <f>IF('ปฏิทิน'!CH5="","",DAY('ปฏิทิน'!CH5))</f>
        <v/>
      </c>
      <c r="CI6" s="535">
        <f>IF('ปฏิทิน'!CI5="","",DAY('ปฏิทิน'!CI5))</f>
        <v/>
      </c>
      <c r="CJ6" s="535">
        <f>IF('ปฏิทิน'!CJ5="","",DAY('ปฏิทิน'!CJ5))</f>
        <v/>
      </c>
      <c r="CK6" s="535">
        <f>IF('ปฏิทิน'!CK5="","",DAY('ปฏิทิน'!CK5))</f>
        <v/>
      </c>
      <c r="CL6" s="535">
        <f>IF('ปฏิทิน'!CL5="","",DAY('ปฏิทิน'!CL5))</f>
        <v/>
      </c>
      <c r="CM6" s="535">
        <f>IF('ปฏิทิน'!CM5="","",DAY('ปฏิทิน'!CM5))</f>
        <v/>
      </c>
      <c r="CN6" s="535">
        <f>IF('ปฏิทิน'!CN5="","",DAY('ปฏิทิน'!CN5))</f>
        <v/>
      </c>
      <c r="CO6" s="535">
        <f>IF('ปฏิทิน'!CO5="","",DAY('ปฏิทิน'!CO5))</f>
        <v/>
      </c>
      <c r="CP6" s="535">
        <f>IF('ปฏิทิน'!CP5="","",DAY('ปฏิทิน'!CP5))</f>
        <v/>
      </c>
      <c r="CQ6" s="535">
        <f>IF('ปฏิทิน'!CQ5="","",DAY('ปฏิทิน'!CQ5))</f>
        <v/>
      </c>
      <c r="CR6" s="535">
        <f>IF('ปฏิทิน'!CR5="","",DAY('ปฏิทิน'!CR5))</f>
        <v/>
      </c>
      <c r="CS6" s="535">
        <f>IF('ปฏิทิน'!CS5="","",DAY('ปฏิทิน'!CS5))</f>
        <v/>
      </c>
      <c r="CT6" s="535">
        <f>IF('ปฏิทิน'!CT5="","",DAY('ปฏิทิน'!CT5))</f>
        <v/>
      </c>
      <c r="CU6" s="535">
        <f>IF('ปฏิทิน'!CU5="","",DAY('ปฏิทิน'!CU5))</f>
        <v/>
      </c>
      <c r="CV6" s="535">
        <f>IF('ปฏิทิน'!CV5="","",DAY('ปฏิทิน'!CV5))</f>
        <v/>
      </c>
      <c r="CW6" s="535">
        <f>IF('ปฏิทิน'!CW5="","",DAY('ปฏิทิน'!CW5))</f>
        <v/>
      </c>
      <c r="CX6" s="535">
        <f>IF('ปฏิทิน'!CX5="","",DAY('ปฏิทิน'!CX5))</f>
        <v/>
      </c>
      <c r="CY6" s="539" t="inlineStr">
        <is>
          <t>หลับ</t>
        </is>
      </c>
      <c r="CZ6" s="540" t="inlineStr">
        <is>
          <t>พัก</t>
        </is>
      </c>
      <c r="DA6" s="541" t="inlineStr">
        <is>
          <t>ไม่
นอน</t>
        </is>
      </c>
      <c r="DB6" s="538">
        <f>IF('ปฏิทิน'!DB5="","",DAY('ปฏิทิน'!DB5))</f>
        <v/>
      </c>
      <c r="DC6" s="535">
        <f>IF('ปฏิทิน'!DC5="","",DAY('ปฏิทิน'!DC5))</f>
        <v/>
      </c>
      <c r="DD6" s="535">
        <f>IF('ปฏิทิน'!DD5="","",DAY('ปฏิทิน'!DD5))</f>
        <v/>
      </c>
      <c r="DE6" s="535">
        <f>IF('ปฏิทิน'!DE5="","",DAY('ปฏิทิน'!DE5))</f>
        <v/>
      </c>
      <c r="DF6" s="535">
        <f>IF('ปฏิทิน'!DF5="","",DAY('ปฏิทิน'!DF5))</f>
        <v/>
      </c>
      <c r="DG6" s="535">
        <f>IF('ปฏิทิน'!DG5="","",DAY('ปฏิทิน'!DG5))</f>
        <v/>
      </c>
      <c r="DH6" s="535">
        <f>IF('ปฏิทิน'!DH5="","",DAY('ปฏิทิน'!DH5))</f>
        <v/>
      </c>
      <c r="DI6" s="535">
        <f>IF('ปฏิทิน'!DI5="","",DAY('ปฏิทิน'!DI5))</f>
        <v/>
      </c>
      <c r="DJ6" s="535">
        <f>IF('ปฏิทิน'!DJ5="","",DAY('ปฏิทิน'!DJ5))</f>
        <v/>
      </c>
      <c r="DK6" s="535">
        <f>IF('ปฏิทิน'!DK5="","",DAY('ปฏิทิน'!DK5))</f>
        <v/>
      </c>
      <c r="DL6" s="535">
        <f>IF('ปฏิทิน'!DL5="","",DAY('ปฏิทิน'!DL5))</f>
        <v/>
      </c>
      <c r="DM6" s="535">
        <f>IF('ปฏิทิน'!DM5="","",DAY('ปฏิทิน'!DM5))</f>
        <v/>
      </c>
      <c r="DN6" s="535">
        <f>IF('ปฏิทิน'!DN5="","",DAY('ปฏิทิน'!DN5))</f>
        <v/>
      </c>
      <c r="DO6" s="535">
        <f>IF('ปฏิทิน'!DO5="","",DAY('ปฏิทิน'!DO5))</f>
        <v/>
      </c>
      <c r="DP6" s="535">
        <f>IF('ปฏิทิน'!DP5="","",DAY('ปฏิทิน'!DP5))</f>
        <v/>
      </c>
      <c r="DQ6" s="535">
        <f>IF('ปฏิทิน'!DQ5="","",DAY('ปฏิทิน'!DQ5))</f>
        <v/>
      </c>
      <c r="DR6" s="535">
        <f>IF('ปฏิทิน'!DR5="","",DAY('ปฏิทิน'!DR5))</f>
        <v/>
      </c>
      <c r="DS6" s="535">
        <f>IF('ปฏิทิน'!DS5="","",DAY('ปฏิทิน'!DS5))</f>
        <v/>
      </c>
      <c r="DT6" s="535">
        <f>IF('ปฏิทิน'!DT5="","",DAY('ปฏิทิน'!DT5))</f>
        <v/>
      </c>
      <c r="DU6" s="535">
        <f>IF('ปฏิทิน'!DU5="","",DAY('ปฏิทิน'!DU5))</f>
        <v/>
      </c>
      <c r="DV6" s="535">
        <f>IF('ปฏิทิน'!DV5="","",DAY('ปฏิทิน'!DV5))</f>
        <v/>
      </c>
      <c r="DW6" s="535">
        <f>IF('ปฏิทิน'!DW5="","",DAY('ปฏิทิน'!DW5))</f>
        <v/>
      </c>
      <c r="DX6" s="535">
        <f>IF('ปฏิทิน'!DX5="","",DAY('ปฏิทิน'!DX5))</f>
        <v/>
      </c>
      <c r="DY6" s="535">
        <f>IF('ปฏิทิน'!DY5="","",DAY('ปฏิทิน'!DY5))</f>
        <v/>
      </c>
      <c r="DZ6" s="535">
        <f>IF('ปฏิทิน'!DZ5="","",DAY('ปฏิทิน'!DZ5))</f>
        <v/>
      </c>
      <c r="EA6" s="535">
        <f>IF('ปฏิทิน'!EA5="","",DAY('ปฏิทิน'!EA5))</f>
        <v/>
      </c>
      <c r="EB6" s="535">
        <f>IF('ปฏิทิน'!EB5="","",DAY('ปฏิทิน'!EB5))</f>
        <v/>
      </c>
      <c r="EC6" s="535">
        <f>IF('ปฏิทิน'!EC5="","",DAY('ปฏิทิน'!EC5))</f>
        <v/>
      </c>
      <c r="ED6" s="535">
        <f>IF('ปฏิทิน'!ED5="","",DAY('ปฏิทิน'!ED5))</f>
        <v/>
      </c>
      <c r="EE6" s="535">
        <f>IF('ปฏิทิน'!EE5="","",DAY('ปฏิทิน'!EE5))</f>
        <v/>
      </c>
      <c r="EF6" s="535">
        <f>IF('ปฏิทิน'!EF5="","",DAY('ปฏิทิน'!EF5))</f>
        <v/>
      </c>
      <c r="EG6" s="539" t="inlineStr">
        <is>
          <t>หลับ</t>
        </is>
      </c>
      <c r="EH6" s="540" t="inlineStr">
        <is>
          <t>พัก</t>
        </is>
      </c>
      <c r="EI6" s="541" t="inlineStr">
        <is>
          <t>ไม่
นอน</t>
        </is>
      </c>
      <c r="EJ6" s="538">
        <f>IF('ปฏิทิน'!EJ5="","",DAY('ปฏิทิน'!EJ5))</f>
        <v/>
      </c>
      <c r="EK6" s="535">
        <f>IF('ปฏิทิน'!EK5="","",DAY('ปฏิทิน'!EK5))</f>
        <v/>
      </c>
      <c r="EL6" s="535">
        <f>IF('ปฏิทิน'!EL5="","",DAY('ปฏิทิน'!EL5))</f>
        <v/>
      </c>
      <c r="EM6" s="535">
        <f>IF('ปฏิทิน'!EM5="","",DAY('ปฏิทิน'!EM5))</f>
        <v/>
      </c>
      <c r="EN6" s="535">
        <f>IF('ปฏิทิน'!EN5="","",DAY('ปฏิทิน'!EN5))</f>
        <v/>
      </c>
      <c r="EO6" s="535">
        <f>IF('ปฏิทิน'!EO5="","",DAY('ปฏิทิน'!EO5))</f>
        <v/>
      </c>
      <c r="EP6" s="535">
        <f>IF('ปฏิทิน'!EP5="","",DAY('ปฏิทิน'!EP5))</f>
        <v/>
      </c>
      <c r="EQ6" s="535">
        <f>IF('ปฏิทิน'!EQ5="","",DAY('ปฏิทิน'!EQ5))</f>
        <v/>
      </c>
      <c r="ER6" s="535">
        <f>IF('ปฏิทิน'!ER5="","",DAY('ปฏิทิน'!ER5))</f>
        <v/>
      </c>
      <c r="ES6" s="535">
        <f>IF('ปฏิทิน'!ES5="","",DAY('ปฏิทิน'!ES5))</f>
        <v/>
      </c>
      <c r="ET6" s="535">
        <f>IF('ปฏิทิน'!ET5="","",DAY('ปฏิทิน'!ET5))</f>
        <v/>
      </c>
      <c r="EU6" s="535">
        <f>IF('ปฏิทิน'!EU5="","",DAY('ปฏิทิน'!EU5))</f>
        <v/>
      </c>
      <c r="EV6" s="535">
        <f>IF('ปฏิทิน'!EV5="","",DAY('ปฏิทิน'!EV5))</f>
        <v/>
      </c>
      <c r="EW6" s="535">
        <f>IF('ปฏิทิน'!EW5="","",DAY('ปฏิทิน'!EW5))</f>
        <v/>
      </c>
      <c r="EX6" s="535">
        <f>IF('ปฏิทิน'!EX5="","",DAY('ปฏิทิน'!EX5))</f>
        <v/>
      </c>
      <c r="EY6" s="535">
        <f>IF('ปฏิทิน'!EY5="","",DAY('ปฏิทิน'!EY5))</f>
        <v/>
      </c>
      <c r="EZ6" s="535">
        <f>IF('ปฏิทิน'!EZ5="","",DAY('ปฏิทิน'!EZ5))</f>
        <v/>
      </c>
      <c r="FA6" s="535">
        <f>IF('ปฏิทิน'!FA5="","",DAY('ปฏิทิน'!FA5))</f>
        <v/>
      </c>
      <c r="FB6" s="535">
        <f>IF('ปฏิทิน'!FB5="","",DAY('ปฏิทิน'!FB5))</f>
        <v/>
      </c>
      <c r="FC6" s="535">
        <f>IF('ปฏิทิน'!FC5="","",DAY('ปฏิทิน'!FC5))</f>
        <v/>
      </c>
      <c r="FD6" s="535">
        <f>IF('ปฏิทิน'!FD5="","",DAY('ปฏิทิน'!FD5))</f>
        <v/>
      </c>
      <c r="FE6" s="535">
        <f>IF('ปฏิทิน'!FE5="","",DAY('ปฏิทิน'!FE5))</f>
        <v/>
      </c>
      <c r="FF6" s="535">
        <f>IF('ปฏิทิน'!FF5="","",DAY('ปฏิทิน'!FF5))</f>
        <v/>
      </c>
      <c r="FG6" s="535">
        <f>IF('ปฏิทิน'!FG5="","",DAY('ปฏิทิน'!FG5))</f>
        <v/>
      </c>
      <c r="FH6" s="535">
        <f>IF('ปฏิทิน'!FH5="","",DAY('ปฏิทิน'!FH5))</f>
        <v/>
      </c>
      <c r="FI6" s="535">
        <f>IF('ปฏิทิน'!FI5="","",DAY('ปฏิทิน'!FI5))</f>
        <v/>
      </c>
      <c r="FJ6" s="535">
        <f>IF('ปฏิทิน'!FJ5="","",DAY('ปฏิทิน'!FJ5))</f>
        <v/>
      </c>
      <c r="FK6" s="535">
        <f>IF('ปฏิทิน'!FK5="","",DAY('ปฏิทิน'!FK5))</f>
        <v/>
      </c>
      <c r="FL6" s="535">
        <f>IF('ปฏิทิน'!FL5="","",DAY('ปฏิทิน'!FL5))</f>
        <v/>
      </c>
      <c r="FM6" s="535">
        <f>IF('ปฏิทิน'!FM5="","",DAY('ปฏิทิน'!FM5))</f>
        <v/>
      </c>
      <c r="FN6" s="535">
        <f>IF('ปฏิทิน'!FN5="","",DAY('ปฏิทิน'!FN5))</f>
        <v/>
      </c>
      <c r="FO6" s="539" t="inlineStr">
        <is>
          <t>หลับ</t>
        </is>
      </c>
      <c r="FP6" s="540" t="inlineStr">
        <is>
          <t>พัก</t>
        </is>
      </c>
      <c r="FQ6" s="541" t="inlineStr">
        <is>
          <t>ไม่
นอน</t>
        </is>
      </c>
    </row>
    <row r="7">
      <c r="D7" s="542">
        <f>IF('ปฏิทิน'!D5="","",CHOOSE(WEEKDAY('ปฏิทิน'!D5,2),"จ.","อ.","พ.","พฤ.","ศ.","ส.","อา."))</f>
        <v/>
      </c>
      <c r="E7" s="543">
        <f>IF('ปฏิทิน'!E5="","",CHOOSE(WEEKDAY('ปฏิทิน'!E5,2),"จ.","อ.","พ.","พฤ.","ศ.","ส.","อา."))</f>
        <v/>
      </c>
      <c r="F7" s="543">
        <f>IF('ปฏิทิน'!F5="","",CHOOSE(WEEKDAY('ปฏิทิน'!F5,2),"จ.","อ.","พ.","พฤ.","ศ.","ส.","อา."))</f>
        <v/>
      </c>
      <c r="G7" s="543">
        <f>IF('ปฏิทิน'!G5="","",CHOOSE(WEEKDAY('ปฏิทิน'!G5,2),"จ.","อ.","พ.","พฤ.","ศ.","ส.","อา."))</f>
        <v/>
      </c>
      <c r="H7" s="543">
        <f>IF('ปฏิทิน'!H5="","",CHOOSE(WEEKDAY('ปฏิทิน'!H5,2),"จ.","อ.","พ.","พฤ.","ศ.","ส.","อา."))</f>
        <v/>
      </c>
      <c r="I7" s="543">
        <f>IF('ปฏิทิน'!I5="","",CHOOSE(WEEKDAY('ปฏิทิน'!I5,2),"จ.","อ.","พ.","พฤ.","ศ.","ส.","อา."))</f>
        <v/>
      </c>
      <c r="J7" s="543">
        <f>IF('ปฏิทิน'!J5="","",CHOOSE(WEEKDAY('ปฏิทิน'!J5,2),"จ.","อ.","พ.","พฤ.","ศ.","ส.","อา."))</f>
        <v/>
      </c>
      <c r="K7" s="543">
        <f>IF('ปฏิทิน'!K5="","",CHOOSE(WEEKDAY('ปฏิทิน'!K5,2),"จ.","อ.","พ.","พฤ.","ศ.","ส.","อา."))</f>
        <v/>
      </c>
      <c r="L7" s="543">
        <f>IF('ปฏิทิน'!L5="","",CHOOSE(WEEKDAY('ปฏิทิน'!L5,2),"จ.","อ.","พ.","พฤ.","ศ.","ส.","อา."))</f>
        <v/>
      </c>
      <c r="M7" s="543">
        <f>IF('ปฏิทิน'!M5="","",CHOOSE(WEEKDAY('ปฏิทิน'!M5,2),"จ.","อ.","พ.","พฤ.","ศ.","ส.","อา."))</f>
        <v/>
      </c>
      <c r="N7" s="543">
        <f>IF('ปฏิทิน'!N5="","",CHOOSE(WEEKDAY('ปฏิทิน'!N5,2),"จ.","อ.","พ.","พฤ.","ศ.","ส.","อา."))</f>
        <v/>
      </c>
      <c r="O7" s="543">
        <f>IF('ปฏิทิน'!O5="","",CHOOSE(WEEKDAY('ปฏิทิน'!O5,2),"จ.","อ.","พ.","พฤ.","ศ.","ส.","อา."))</f>
        <v/>
      </c>
      <c r="P7" s="543">
        <f>IF('ปฏิทิน'!P5="","",CHOOSE(WEEKDAY('ปฏิทิน'!P5,2),"จ.","อ.","พ.","พฤ.","ศ.","ส.","อา."))</f>
        <v/>
      </c>
      <c r="Q7" s="543">
        <f>IF('ปฏิทิน'!Q5="","",CHOOSE(WEEKDAY('ปฏิทิน'!Q5,2),"จ.","อ.","พ.","พฤ.","ศ.","ส.","อา."))</f>
        <v/>
      </c>
      <c r="R7" s="543">
        <f>IF('ปฏิทิน'!R5="","",CHOOSE(WEEKDAY('ปฏิทิน'!R5,2),"จ.","อ.","พ.","พฤ.","ศ.","ส.","อา."))</f>
        <v/>
      </c>
      <c r="S7" s="543">
        <f>IF('ปฏิทิน'!S5="","",CHOOSE(WEEKDAY('ปฏิทิน'!S5,2),"จ.","อ.","พ.","พฤ.","ศ.","ส.","อา."))</f>
        <v/>
      </c>
      <c r="T7" s="543">
        <f>IF('ปฏิทิน'!T5="","",CHOOSE(WEEKDAY('ปฏิทิน'!T5,2),"จ.","อ.","พ.","พฤ.","ศ.","ส.","อา."))</f>
        <v/>
      </c>
      <c r="U7" s="543">
        <f>IF('ปฏิทิน'!U5="","",CHOOSE(WEEKDAY('ปฏิทิน'!U5,2),"จ.","อ.","พ.","พฤ.","ศ.","ส.","อา."))</f>
        <v/>
      </c>
      <c r="V7" s="543">
        <f>IF('ปฏิทิน'!V5="","",CHOOSE(WEEKDAY('ปฏิทิน'!V5,2),"จ.","อ.","พ.","พฤ.","ศ.","ส.","อา."))</f>
        <v/>
      </c>
      <c r="W7" s="543">
        <f>IF('ปฏิทิน'!W5="","",CHOOSE(WEEKDAY('ปฏิทิน'!W5,2),"จ.","อ.","พ.","พฤ.","ศ.","ส.","อา."))</f>
        <v/>
      </c>
      <c r="X7" s="543">
        <f>IF('ปฏิทิน'!X5="","",CHOOSE(WEEKDAY('ปฏิทิน'!X5,2),"จ.","อ.","พ.","พฤ.","ศ.","ส.","อา."))</f>
        <v/>
      </c>
      <c r="Y7" s="543">
        <f>IF('ปฏิทิน'!Y5="","",CHOOSE(WEEKDAY('ปฏิทิน'!Y5,2),"จ.","อ.","พ.","พฤ.","ศ.","ส.","อา."))</f>
        <v/>
      </c>
      <c r="Z7" s="543">
        <f>IF('ปฏิทิน'!Z5="","",CHOOSE(WEEKDAY('ปฏิทิน'!Z5,2),"จ.","อ.","พ.","พฤ.","ศ.","ส.","อา."))</f>
        <v/>
      </c>
      <c r="AA7" s="543">
        <f>IF('ปฏิทิน'!AA5="","",CHOOSE(WEEKDAY('ปฏิทิน'!AA5,2),"จ.","อ.","พ.","พฤ.","ศ.","ส.","อา."))</f>
        <v/>
      </c>
      <c r="AB7" s="543">
        <f>IF('ปฏิทิน'!AB5="","",CHOOSE(WEEKDAY('ปฏิทิน'!AB5,2),"จ.","อ.","พ.","พฤ.","ศ.","ส.","อา."))</f>
        <v/>
      </c>
      <c r="AC7" s="543">
        <f>IF('ปฏิทิน'!AC5="","",CHOOSE(WEEKDAY('ปฏิทิน'!AC5,2),"จ.","อ.","พ.","พฤ.","ศ.","ส.","อา."))</f>
        <v/>
      </c>
      <c r="AD7" s="543">
        <f>IF('ปฏิทิน'!AD5="","",CHOOSE(WEEKDAY('ปฏิทิน'!AD5,2),"จ.","อ.","พ.","พฤ.","ศ.","ส.","อา."))</f>
        <v/>
      </c>
      <c r="AE7" s="543">
        <f>IF('ปฏิทิน'!AE5="","",CHOOSE(WEEKDAY('ปฏิทิน'!AE5,2),"จ.","อ.","พ.","พฤ.","ศ.","ส.","อา."))</f>
        <v/>
      </c>
      <c r="AF7" s="543">
        <f>IF('ปฏิทิน'!AF5="","",CHOOSE(WEEKDAY('ปฏิทิน'!AF5,2),"จ.","อ.","พ.","พฤ.","ศ.","ส.","อา."))</f>
        <v/>
      </c>
      <c r="AG7" s="543">
        <f>IF('ปฏิทิน'!AG5="","",CHOOSE(WEEKDAY('ปฏิทิน'!AG5,2),"จ.","อ.","พ.","พฤ.","ศ.","ส.","อา."))</f>
        <v/>
      </c>
      <c r="AH7" s="543">
        <f>IF('ปฏิทิน'!AH5="","",CHOOSE(WEEKDAY('ปฏิทิน'!AH5,2),"จ.","อ.","พ.","พฤ.","ศ.","ส.","อา."))</f>
        <v/>
      </c>
      <c r="AI7" s="544" t="n"/>
      <c r="AL7" s="542">
        <f>IF('ปฏิทิน'!AL5="","",CHOOSE(WEEKDAY('ปฏิทิน'!AL5,2),"จ.","อ.","พ.","พฤ.","ศ.","ส.","อา."))</f>
        <v/>
      </c>
      <c r="AM7" s="543">
        <f>IF('ปฏิทิน'!AM5="","",CHOOSE(WEEKDAY('ปฏิทิน'!AM5,2),"จ.","อ.","พ.","พฤ.","ศ.","ส.","อา."))</f>
        <v/>
      </c>
      <c r="AN7" s="543">
        <f>IF('ปฏิทิน'!AN5="","",CHOOSE(WEEKDAY('ปฏิทิน'!AN5,2),"จ.","อ.","พ.","พฤ.","ศ.","ส.","อา."))</f>
        <v/>
      </c>
      <c r="AO7" s="543">
        <f>IF('ปฏิทิน'!AO5="","",CHOOSE(WEEKDAY('ปฏิทิน'!AO5,2),"จ.","อ.","พ.","พฤ.","ศ.","ส.","อา."))</f>
        <v/>
      </c>
      <c r="AP7" s="543">
        <f>IF('ปฏิทิน'!AP5="","",CHOOSE(WEEKDAY('ปฏิทิน'!AP5,2),"จ.","อ.","พ.","พฤ.","ศ.","ส.","อา."))</f>
        <v/>
      </c>
      <c r="AQ7" s="543">
        <f>IF('ปฏิทิน'!AQ5="","",CHOOSE(WEEKDAY('ปฏิทิน'!AQ5,2),"จ.","อ.","พ.","พฤ.","ศ.","ส.","อา."))</f>
        <v/>
      </c>
      <c r="AR7" s="543">
        <f>IF('ปฏิทิน'!AR5="","",CHOOSE(WEEKDAY('ปฏิทิน'!AR5,2),"จ.","อ.","พ.","พฤ.","ศ.","ส.","อา."))</f>
        <v/>
      </c>
      <c r="AS7" s="543">
        <f>IF('ปฏิทิน'!AS5="","",CHOOSE(WEEKDAY('ปฏิทิน'!AS5,2),"จ.","อ.","พ.","พฤ.","ศ.","ส.","อา."))</f>
        <v/>
      </c>
      <c r="AT7" s="543">
        <f>IF('ปฏิทิน'!AT5="","",CHOOSE(WEEKDAY('ปฏิทิน'!AT5,2),"จ.","อ.","พ.","พฤ.","ศ.","ส.","อา."))</f>
        <v/>
      </c>
      <c r="AU7" s="543">
        <f>IF('ปฏิทิน'!AU5="","",CHOOSE(WEEKDAY('ปฏิทิน'!AU5,2),"จ.","อ.","พ.","พฤ.","ศ.","ส.","อา."))</f>
        <v/>
      </c>
      <c r="AV7" s="543">
        <f>IF('ปฏิทิน'!AV5="","",CHOOSE(WEEKDAY('ปฏิทิน'!AV5,2),"จ.","อ.","พ.","พฤ.","ศ.","ส.","อา."))</f>
        <v/>
      </c>
      <c r="AW7" s="543">
        <f>IF('ปฏิทิน'!AW5="","",CHOOSE(WEEKDAY('ปฏิทิน'!AW5,2),"จ.","อ.","พ.","พฤ.","ศ.","ส.","อา."))</f>
        <v/>
      </c>
      <c r="AX7" s="543">
        <f>IF('ปฏิทิน'!AX5="","",CHOOSE(WEEKDAY('ปฏิทิน'!AX5,2),"จ.","อ.","พ.","พฤ.","ศ.","ส.","อา."))</f>
        <v/>
      </c>
      <c r="AY7" s="543">
        <f>IF('ปฏิทิน'!AY5="","",CHOOSE(WEEKDAY('ปฏิทิน'!AY5,2),"จ.","อ.","พ.","พฤ.","ศ.","ส.","อา."))</f>
        <v/>
      </c>
      <c r="AZ7" s="543">
        <f>IF('ปฏิทิน'!AZ5="","",CHOOSE(WEEKDAY('ปฏิทิน'!AZ5,2),"จ.","อ.","พ.","พฤ.","ศ.","ส.","อา."))</f>
        <v/>
      </c>
      <c r="BA7" s="543">
        <f>IF('ปฏิทิน'!BA5="","",CHOOSE(WEEKDAY('ปฏิทิน'!BA5,2),"จ.","อ.","พ.","พฤ.","ศ.","ส.","อา."))</f>
        <v/>
      </c>
      <c r="BB7" s="543">
        <f>IF('ปฏิทิน'!BB5="","",CHOOSE(WEEKDAY('ปฏิทิน'!BB5,2),"จ.","อ.","พ.","พฤ.","ศ.","ส.","อา."))</f>
        <v/>
      </c>
      <c r="BC7" s="543">
        <f>IF('ปฏิทิน'!BC5="","",CHOOSE(WEEKDAY('ปฏิทิน'!BC5,2),"จ.","อ.","พ.","พฤ.","ศ.","ส.","อา."))</f>
        <v/>
      </c>
      <c r="BD7" s="543">
        <f>IF('ปฏิทิน'!BD5="","",CHOOSE(WEEKDAY('ปฏิทิน'!BD5,2),"จ.","อ.","พ.","พฤ.","ศ.","ส.","อา."))</f>
        <v/>
      </c>
      <c r="BE7" s="543">
        <f>IF('ปฏิทิน'!BE5="","",CHOOSE(WEEKDAY('ปฏิทิน'!BE5,2),"จ.","อ.","พ.","พฤ.","ศ.","ส.","อา."))</f>
        <v/>
      </c>
      <c r="BF7" s="543">
        <f>IF('ปฏิทิน'!BF5="","",CHOOSE(WEEKDAY('ปฏิทิน'!BF5,2),"จ.","อ.","พ.","พฤ.","ศ.","ส.","อา."))</f>
        <v/>
      </c>
      <c r="BG7" s="543">
        <f>IF('ปฏิทิน'!BG5="","",CHOOSE(WEEKDAY('ปฏิทิน'!BG5,2),"จ.","อ.","พ.","พฤ.","ศ.","ส.","อา."))</f>
        <v/>
      </c>
      <c r="BH7" s="543">
        <f>IF('ปฏิทิน'!BH5="","",CHOOSE(WEEKDAY('ปฏิทิน'!BH5,2),"จ.","อ.","พ.","พฤ.","ศ.","ส.","อา."))</f>
        <v/>
      </c>
      <c r="BI7" s="543">
        <f>IF('ปฏิทิน'!BI5="","",CHOOSE(WEEKDAY('ปฏิทิน'!BI5,2),"จ.","อ.","พ.","พฤ.","ศ.","ส.","อา."))</f>
        <v/>
      </c>
      <c r="BJ7" s="543">
        <f>IF('ปฏิทิน'!BJ5="","",CHOOSE(WEEKDAY('ปฏิทิน'!BJ5,2),"จ.","อ.","พ.","พฤ.","ศ.","ส.","อา."))</f>
        <v/>
      </c>
      <c r="BK7" s="543">
        <f>IF('ปฏิทิน'!BK5="","",CHOOSE(WEEKDAY('ปฏิทิน'!BK5,2),"จ.","อ.","พ.","พฤ.","ศ.","ส.","อา."))</f>
        <v/>
      </c>
      <c r="BL7" s="543">
        <f>IF('ปฏิทิน'!BL5="","",CHOOSE(WEEKDAY('ปฏิทิน'!BL5,2),"จ.","อ.","พ.","พฤ.","ศ.","ส.","อา."))</f>
        <v/>
      </c>
      <c r="BM7" s="543">
        <f>IF('ปฏิทิน'!BM5="","",CHOOSE(WEEKDAY('ปฏิทิน'!BM5,2),"จ.","อ.","พ.","พฤ.","ศ.","ส.","อา."))</f>
        <v/>
      </c>
      <c r="BN7" s="543">
        <f>IF('ปฏิทิน'!BN5="","",CHOOSE(WEEKDAY('ปฏิทิน'!BN5,2),"จ.","อ.","พ.","พฤ.","ศ.","ส.","อา."))</f>
        <v/>
      </c>
      <c r="BO7" s="543">
        <f>IF('ปฏิทิน'!BO5="","",CHOOSE(WEEKDAY('ปฏิทิน'!BO5,2),"จ.","อ.","พ.","พฤ.","ศ.","ส.","อา."))</f>
        <v/>
      </c>
      <c r="BP7" s="543">
        <f>IF('ปฏิทิน'!BP5="","",CHOOSE(WEEKDAY('ปฏิทิน'!BP5,2),"จ.","อ.","พ.","พฤ.","ศ.","ส.","อา."))</f>
        <v/>
      </c>
      <c r="BQ7" s="544" t="n"/>
      <c r="BT7" s="542">
        <f>IF('ปฏิทิน'!BT5="","",CHOOSE(WEEKDAY('ปฏิทิน'!BT5,2),"จ.","อ.","พ.","พฤ.","ศ.","ส.","อา."))</f>
        <v/>
      </c>
      <c r="BU7" s="543">
        <f>IF('ปฏิทิน'!BU5="","",CHOOSE(WEEKDAY('ปฏิทิน'!BU5,2),"จ.","อ.","พ.","พฤ.","ศ.","ส.","อา."))</f>
        <v/>
      </c>
      <c r="BV7" s="543">
        <f>IF('ปฏิทิน'!BV5="","",CHOOSE(WEEKDAY('ปฏิทิน'!BV5,2),"จ.","อ.","พ.","พฤ.","ศ.","ส.","อา."))</f>
        <v/>
      </c>
      <c r="BW7" s="543">
        <f>IF('ปฏิทิน'!BW5="","",CHOOSE(WEEKDAY('ปฏิทิน'!BW5,2),"จ.","อ.","พ.","พฤ.","ศ.","ส.","อา."))</f>
        <v/>
      </c>
      <c r="BX7" s="543">
        <f>IF('ปฏิทิน'!BX5="","",CHOOSE(WEEKDAY('ปฏิทิน'!BX5,2),"จ.","อ.","พ.","พฤ.","ศ.","ส.","อา."))</f>
        <v/>
      </c>
      <c r="BY7" s="543">
        <f>IF('ปฏิทิน'!BY5="","",CHOOSE(WEEKDAY('ปฏิทิน'!BY5,2),"จ.","อ.","พ.","พฤ.","ศ.","ส.","อา."))</f>
        <v/>
      </c>
      <c r="BZ7" s="543">
        <f>IF('ปฏิทิน'!BZ5="","",CHOOSE(WEEKDAY('ปฏิทิน'!BZ5,2),"จ.","อ.","พ.","พฤ.","ศ.","ส.","อา."))</f>
        <v/>
      </c>
      <c r="CA7" s="543">
        <f>IF('ปฏิทิน'!CA5="","",CHOOSE(WEEKDAY('ปฏิทิน'!CA5,2),"จ.","อ.","พ.","พฤ.","ศ.","ส.","อา."))</f>
        <v/>
      </c>
      <c r="CB7" s="543">
        <f>IF('ปฏิทิน'!CB5="","",CHOOSE(WEEKDAY('ปฏิทิน'!CB5,2),"จ.","อ.","พ.","พฤ.","ศ.","ส.","อา."))</f>
        <v/>
      </c>
      <c r="CC7" s="543">
        <f>IF('ปฏิทิน'!CC5="","",CHOOSE(WEEKDAY('ปฏิทิน'!CC5,2),"จ.","อ.","พ.","พฤ.","ศ.","ส.","อา."))</f>
        <v/>
      </c>
      <c r="CD7" s="543">
        <f>IF('ปฏิทิน'!CD5="","",CHOOSE(WEEKDAY('ปฏิทิน'!CD5,2),"จ.","อ.","พ.","พฤ.","ศ.","ส.","อา."))</f>
        <v/>
      </c>
      <c r="CE7" s="543">
        <f>IF('ปฏิทิน'!CE5="","",CHOOSE(WEEKDAY('ปฏิทิน'!CE5,2),"จ.","อ.","พ.","พฤ.","ศ.","ส.","อา."))</f>
        <v/>
      </c>
      <c r="CF7" s="543">
        <f>IF('ปฏิทิน'!CF5="","",CHOOSE(WEEKDAY('ปฏิทิน'!CF5,2),"จ.","อ.","พ.","พฤ.","ศ.","ส.","อา."))</f>
        <v/>
      </c>
      <c r="CG7" s="543">
        <f>IF('ปฏิทิน'!CG5="","",CHOOSE(WEEKDAY('ปฏิทิน'!CG5,2),"จ.","อ.","พ.","พฤ.","ศ.","ส.","อา."))</f>
        <v/>
      </c>
      <c r="CH7" s="543">
        <f>IF('ปฏิทิน'!CH5="","",CHOOSE(WEEKDAY('ปฏิทิน'!CH5,2),"จ.","อ.","พ.","พฤ.","ศ.","ส.","อา."))</f>
        <v/>
      </c>
      <c r="CI7" s="543">
        <f>IF('ปฏิทิน'!CI5="","",CHOOSE(WEEKDAY('ปฏิทิน'!CI5,2),"จ.","อ.","พ.","พฤ.","ศ.","ส.","อา."))</f>
        <v/>
      </c>
      <c r="CJ7" s="543">
        <f>IF('ปฏิทิน'!CJ5="","",CHOOSE(WEEKDAY('ปฏิทิน'!CJ5,2),"จ.","อ.","พ.","พฤ.","ศ.","ส.","อา."))</f>
        <v/>
      </c>
      <c r="CK7" s="543">
        <f>IF('ปฏิทิน'!CK5="","",CHOOSE(WEEKDAY('ปฏิทิน'!CK5,2),"จ.","อ.","พ.","พฤ.","ศ.","ส.","อา."))</f>
        <v/>
      </c>
      <c r="CL7" s="543">
        <f>IF('ปฏิทิน'!CL5="","",CHOOSE(WEEKDAY('ปฏิทิน'!CL5,2),"จ.","อ.","พ.","พฤ.","ศ.","ส.","อา."))</f>
        <v/>
      </c>
      <c r="CM7" s="543">
        <f>IF('ปฏิทิน'!CM5="","",CHOOSE(WEEKDAY('ปฏิทิน'!CM5,2),"จ.","อ.","พ.","พฤ.","ศ.","ส.","อา."))</f>
        <v/>
      </c>
      <c r="CN7" s="543">
        <f>IF('ปฏิทิน'!CN5="","",CHOOSE(WEEKDAY('ปฏิทิน'!CN5,2),"จ.","อ.","พ.","พฤ.","ศ.","ส.","อา."))</f>
        <v/>
      </c>
      <c r="CO7" s="543">
        <f>IF('ปฏิทิน'!CO5="","",CHOOSE(WEEKDAY('ปฏิทิน'!CO5,2),"จ.","อ.","พ.","พฤ.","ศ.","ส.","อา."))</f>
        <v/>
      </c>
      <c r="CP7" s="543">
        <f>IF('ปฏิทิน'!CP5="","",CHOOSE(WEEKDAY('ปฏิทิน'!CP5,2),"จ.","อ.","พ.","พฤ.","ศ.","ส.","อา."))</f>
        <v/>
      </c>
      <c r="CQ7" s="543">
        <f>IF('ปฏิทิน'!CQ5="","",CHOOSE(WEEKDAY('ปฏิทิน'!CQ5,2),"จ.","อ.","พ.","พฤ.","ศ.","ส.","อา."))</f>
        <v/>
      </c>
      <c r="CR7" s="543">
        <f>IF('ปฏิทิน'!CR5="","",CHOOSE(WEEKDAY('ปฏิทิน'!CR5,2),"จ.","อ.","พ.","พฤ.","ศ.","ส.","อา."))</f>
        <v/>
      </c>
      <c r="CS7" s="543">
        <f>IF('ปฏิทิน'!CS5="","",CHOOSE(WEEKDAY('ปฏิทิน'!CS5,2),"จ.","อ.","พ.","พฤ.","ศ.","ส.","อา."))</f>
        <v/>
      </c>
      <c r="CT7" s="543">
        <f>IF('ปฏิทิน'!CT5="","",CHOOSE(WEEKDAY('ปฏิทิน'!CT5,2),"จ.","อ.","พ.","พฤ.","ศ.","ส.","อา."))</f>
        <v/>
      </c>
      <c r="CU7" s="543">
        <f>IF('ปฏิทิน'!CU5="","",CHOOSE(WEEKDAY('ปฏิทิน'!CU5,2),"จ.","อ.","พ.","พฤ.","ศ.","ส.","อา."))</f>
        <v/>
      </c>
      <c r="CV7" s="543">
        <f>IF('ปฏิทิน'!CV5="","",CHOOSE(WEEKDAY('ปฏิทิน'!CV5,2),"จ.","อ.","พ.","พฤ.","ศ.","ส.","อา."))</f>
        <v/>
      </c>
      <c r="CW7" s="543">
        <f>IF('ปฏิทิน'!CW5="","",CHOOSE(WEEKDAY('ปฏิทิน'!CW5,2),"จ.","อ.","พ.","พฤ.","ศ.","ส.","อา."))</f>
        <v/>
      </c>
      <c r="CX7" s="543">
        <f>IF('ปฏิทิน'!CX5="","",CHOOSE(WEEKDAY('ปฏิทิน'!CX5,2),"จ.","อ.","พ.","พฤ.","ศ.","ส.","อา."))</f>
        <v/>
      </c>
      <c r="CY7" s="544" t="n"/>
      <c r="DB7" s="542">
        <f>IF('ปฏิทิน'!DB5="","",CHOOSE(WEEKDAY('ปฏิทิน'!DB5,2),"จ.","อ.","พ.","พฤ.","ศ.","ส.","อา."))</f>
        <v/>
      </c>
      <c r="DC7" s="543">
        <f>IF('ปฏิทิน'!DC5="","",CHOOSE(WEEKDAY('ปฏิทิน'!DC5,2),"จ.","อ.","พ.","พฤ.","ศ.","ส.","อา."))</f>
        <v/>
      </c>
      <c r="DD7" s="543">
        <f>IF('ปฏิทิน'!DD5="","",CHOOSE(WEEKDAY('ปฏิทิน'!DD5,2),"จ.","อ.","พ.","พฤ.","ศ.","ส.","อา."))</f>
        <v/>
      </c>
      <c r="DE7" s="543">
        <f>IF('ปฏิทิน'!DE5="","",CHOOSE(WEEKDAY('ปฏิทิน'!DE5,2),"จ.","อ.","พ.","พฤ.","ศ.","ส.","อา."))</f>
        <v/>
      </c>
      <c r="DF7" s="543">
        <f>IF('ปฏิทิน'!DF5="","",CHOOSE(WEEKDAY('ปฏิทิน'!DF5,2),"จ.","อ.","พ.","พฤ.","ศ.","ส.","อา."))</f>
        <v/>
      </c>
      <c r="DG7" s="543">
        <f>IF('ปฏิทิน'!DG5="","",CHOOSE(WEEKDAY('ปฏิทิน'!DG5,2),"จ.","อ.","พ.","พฤ.","ศ.","ส.","อา."))</f>
        <v/>
      </c>
      <c r="DH7" s="543">
        <f>IF('ปฏิทิน'!DH5="","",CHOOSE(WEEKDAY('ปฏิทิน'!DH5,2),"จ.","อ.","พ.","พฤ.","ศ.","ส.","อา."))</f>
        <v/>
      </c>
      <c r="DI7" s="543">
        <f>IF('ปฏิทิน'!DI5="","",CHOOSE(WEEKDAY('ปฏิทิน'!DI5,2),"จ.","อ.","พ.","พฤ.","ศ.","ส.","อา."))</f>
        <v/>
      </c>
      <c r="DJ7" s="543">
        <f>IF('ปฏิทิน'!DJ5="","",CHOOSE(WEEKDAY('ปฏิทิน'!DJ5,2),"จ.","อ.","พ.","พฤ.","ศ.","ส.","อา."))</f>
        <v/>
      </c>
      <c r="DK7" s="543">
        <f>IF('ปฏิทิน'!DK5="","",CHOOSE(WEEKDAY('ปฏิทิน'!DK5,2),"จ.","อ.","พ.","พฤ.","ศ.","ส.","อา."))</f>
        <v/>
      </c>
      <c r="DL7" s="543">
        <f>IF('ปฏิทิน'!DL5="","",CHOOSE(WEEKDAY('ปฏิทิน'!DL5,2),"จ.","อ.","พ.","พฤ.","ศ.","ส.","อา."))</f>
        <v/>
      </c>
      <c r="DM7" s="543">
        <f>IF('ปฏิทิน'!DM5="","",CHOOSE(WEEKDAY('ปฏิทิน'!DM5,2),"จ.","อ.","พ.","พฤ.","ศ.","ส.","อา."))</f>
        <v/>
      </c>
      <c r="DN7" s="543">
        <f>IF('ปฏิทิน'!DN5="","",CHOOSE(WEEKDAY('ปฏิทิน'!DN5,2),"จ.","อ.","พ.","พฤ.","ศ.","ส.","อา."))</f>
        <v/>
      </c>
      <c r="DO7" s="543">
        <f>IF('ปฏิทิน'!DO5="","",CHOOSE(WEEKDAY('ปฏิทิน'!DO5,2),"จ.","อ.","พ.","พฤ.","ศ.","ส.","อา."))</f>
        <v/>
      </c>
      <c r="DP7" s="543">
        <f>IF('ปฏิทิน'!DP5="","",CHOOSE(WEEKDAY('ปฏิทิน'!DP5,2),"จ.","อ.","พ.","พฤ.","ศ.","ส.","อา."))</f>
        <v/>
      </c>
      <c r="DQ7" s="543">
        <f>IF('ปฏิทิน'!DQ5="","",CHOOSE(WEEKDAY('ปฏิทิน'!DQ5,2),"จ.","อ.","พ.","พฤ.","ศ.","ส.","อา."))</f>
        <v/>
      </c>
      <c r="DR7" s="543">
        <f>IF('ปฏิทิน'!DR5="","",CHOOSE(WEEKDAY('ปฏิทิน'!DR5,2),"จ.","อ.","พ.","พฤ.","ศ.","ส.","อา."))</f>
        <v/>
      </c>
      <c r="DS7" s="543">
        <f>IF('ปฏิทิน'!DS5="","",CHOOSE(WEEKDAY('ปฏิทิน'!DS5,2),"จ.","อ.","พ.","พฤ.","ศ.","ส.","อา."))</f>
        <v/>
      </c>
      <c r="DT7" s="543">
        <f>IF('ปฏิทิน'!DT5="","",CHOOSE(WEEKDAY('ปฏิทิน'!DT5,2),"จ.","อ.","พ.","พฤ.","ศ.","ส.","อา."))</f>
        <v/>
      </c>
      <c r="DU7" s="543">
        <f>IF('ปฏิทิน'!DU5="","",CHOOSE(WEEKDAY('ปฏิทิน'!DU5,2),"จ.","อ.","พ.","พฤ.","ศ.","ส.","อา."))</f>
        <v/>
      </c>
      <c r="DV7" s="543">
        <f>IF('ปฏิทิน'!DV5="","",CHOOSE(WEEKDAY('ปฏิทิน'!DV5,2),"จ.","อ.","พ.","พฤ.","ศ.","ส.","อา."))</f>
        <v/>
      </c>
      <c r="DW7" s="543">
        <f>IF('ปฏิทิน'!DW5="","",CHOOSE(WEEKDAY('ปฏิทิน'!DW5,2),"จ.","อ.","พ.","พฤ.","ศ.","ส.","อา."))</f>
        <v/>
      </c>
      <c r="DX7" s="543">
        <f>IF('ปฏิทิน'!DX5="","",CHOOSE(WEEKDAY('ปฏิทิน'!DX5,2),"จ.","อ.","พ.","พฤ.","ศ.","ส.","อา."))</f>
        <v/>
      </c>
      <c r="DY7" s="543">
        <f>IF('ปฏิทิน'!DY5="","",CHOOSE(WEEKDAY('ปฏิทิน'!DY5,2),"จ.","อ.","พ.","พฤ.","ศ.","ส.","อา."))</f>
        <v/>
      </c>
      <c r="DZ7" s="543">
        <f>IF('ปฏิทิน'!DZ5="","",CHOOSE(WEEKDAY('ปฏิทิน'!DZ5,2),"จ.","อ.","พ.","พฤ.","ศ.","ส.","อา."))</f>
        <v/>
      </c>
      <c r="EA7" s="543">
        <f>IF('ปฏิทิน'!EA5="","",CHOOSE(WEEKDAY('ปฏิทิน'!EA5,2),"จ.","อ.","พ.","พฤ.","ศ.","ส.","อา."))</f>
        <v/>
      </c>
      <c r="EB7" s="543">
        <f>IF('ปฏิทิน'!EB5="","",CHOOSE(WEEKDAY('ปฏิทิน'!EB5,2),"จ.","อ.","พ.","พฤ.","ศ.","ส.","อา."))</f>
        <v/>
      </c>
      <c r="EC7" s="543">
        <f>IF('ปฏิทิน'!EC5="","",CHOOSE(WEEKDAY('ปฏิทิน'!EC5,2),"จ.","อ.","พ.","พฤ.","ศ.","ส.","อา."))</f>
        <v/>
      </c>
      <c r="ED7" s="543">
        <f>IF('ปฏิทิน'!ED5="","",CHOOSE(WEEKDAY('ปฏิทิน'!ED5,2),"จ.","อ.","พ.","พฤ.","ศ.","ส.","อา."))</f>
        <v/>
      </c>
      <c r="EE7" s="543">
        <f>IF('ปฏิทิน'!EE5="","",CHOOSE(WEEKDAY('ปฏิทิน'!EE5,2),"จ.","อ.","พ.","พฤ.","ศ.","ส.","อา."))</f>
        <v/>
      </c>
      <c r="EF7" s="543">
        <f>IF('ปฏิทิน'!EF5="","",CHOOSE(WEEKDAY('ปฏิทิน'!EF5,2),"จ.","อ.","พ.","พฤ.","ศ.","ส.","อา."))</f>
        <v/>
      </c>
      <c r="EG7" s="544" t="n"/>
      <c r="EJ7" s="542">
        <f>IF('ปฏิทิน'!EJ5="","",CHOOSE(WEEKDAY('ปฏิทิน'!EJ5,2),"จ.","อ.","พ.","พฤ.","ศ.","ส.","อา."))</f>
        <v/>
      </c>
      <c r="EK7" s="543">
        <f>IF('ปฏิทิน'!EK5="","",CHOOSE(WEEKDAY('ปฏิทิน'!EK5,2),"จ.","อ.","พ.","พฤ.","ศ.","ส.","อา."))</f>
        <v/>
      </c>
      <c r="EL7" s="543">
        <f>IF('ปฏิทิน'!EL5="","",CHOOSE(WEEKDAY('ปฏิทิน'!EL5,2),"จ.","อ.","พ.","พฤ.","ศ.","ส.","อา."))</f>
        <v/>
      </c>
      <c r="EM7" s="543">
        <f>IF('ปฏิทิน'!EM5="","",CHOOSE(WEEKDAY('ปฏิทิน'!EM5,2),"จ.","อ.","พ.","พฤ.","ศ.","ส.","อา."))</f>
        <v/>
      </c>
      <c r="EN7" s="543">
        <f>IF('ปฏิทิน'!EN5="","",CHOOSE(WEEKDAY('ปฏิทิน'!EN5,2),"จ.","อ.","พ.","พฤ.","ศ.","ส.","อา."))</f>
        <v/>
      </c>
      <c r="EO7" s="543">
        <f>IF('ปฏิทิน'!EO5="","",CHOOSE(WEEKDAY('ปฏิทิน'!EO5,2),"จ.","อ.","พ.","พฤ.","ศ.","ส.","อา."))</f>
        <v/>
      </c>
      <c r="EP7" s="543">
        <f>IF('ปฏิทิน'!EP5="","",CHOOSE(WEEKDAY('ปฏิทิน'!EP5,2),"จ.","อ.","พ.","พฤ.","ศ.","ส.","อา."))</f>
        <v/>
      </c>
      <c r="EQ7" s="543">
        <f>IF('ปฏิทิน'!EQ5="","",CHOOSE(WEEKDAY('ปฏิทิน'!EQ5,2),"จ.","อ.","พ.","พฤ.","ศ.","ส.","อา."))</f>
        <v/>
      </c>
      <c r="ER7" s="543">
        <f>IF('ปฏิทิน'!ER5="","",CHOOSE(WEEKDAY('ปฏิทิน'!ER5,2),"จ.","อ.","พ.","พฤ.","ศ.","ส.","อา."))</f>
        <v/>
      </c>
      <c r="ES7" s="543">
        <f>IF('ปฏิทิน'!ES5="","",CHOOSE(WEEKDAY('ปฏิทิน'!ES5,2),"จ.","อ.","พ.","พฤ.","ศ.","ส.","อา."))</f>
        <v/>
      </c>
      <c r="ET7" s="543">
        <f>IF('ปฏิทิน'!ET5="","",CHOOSE(WEEKDAY('ปฏิทิน'!ET5,2),"จ.","อ.","พ.","พฤ.","ศ.","ส.","อา."))</f>
        <v/>
      </c>
      <c r="EU7" s="543">
        <f>IF('ปฏิทิน'!EU5="","",CHOOSE(WEEKDAY('ปฏิทิน'!EU5,2),"จ.","อ.","พ.","พฤ.","ศ.","ส.","อา."))</f>
        <v/>
      </c>
      <c r="EV7" s="543">
        <f>IF('ปฏิทิน'!EV5="","",CHOOSE(WEEKDAY('ปฏิทิน'!EV5,2),"จ.","อ.","พ.","พฤ.","ศ.","ส.","อา."))</f>
        <v/>
      </c>
      <c r="EW7" s="543">
        <f>IF('ปฏิทิน'!EW5="","",CHOOSE(WEEKDAY('ปฏิทิน'!EW5,2),"จ.","อ.","พ.","พฤ.","ศ.","ส.","อา."))</f>
        <v/>
      </c>
      <c r="EX7" s="543">
        <f>IF('ปฏิทิน'!EX5="","",CHOOSE(WEEKDAY('ปฏิทิน'!EX5,2),"จ.","อ.","พ.","พฤ.","ศ.","ส.","อา."))</f>
        <v/>
      </c>
      <c r="EY7" s="543">
        <f>IF('ปฏิทิน'!EY5="","",CHOOSE(WEEKDAY('ปฏิทิน'!EY5,2),"จ.","อ.","พ.","พฤ.","ศ.","ส.","อา."))</f>
        <v/>
      </c>
      <c r="EZ7" s="543">
        <f>IF('ปฏิทิน'!EZ5="","",CHOOSE(WEEKDAY('ปฏิทิน'!EZ5,2),"จ.","อ.","พ.","พฤ.","ศ.","ส.","อา."))</f>
        <v/>
      </c>
      <c r="FA7" s="543">
        <f>IF('ปฏิทิน'!FA5="","",CHOOSE(WEEKDAY('ปฏิทิน'!FA5,2),"จ.","อ.","พ.","พฤ.","ศ.","ส.","อา."))</f>
        <v/>
      </c>
      <c r="FB7" s="543">
        <f>IF('ปฏิทิน'!FB5="","",CHOOSE(WEEKDAY('ปฏิทิน'!FB5,2),"จ.","อ.","พ.","พฤ.","ศ.","ส.","อา."))</f>
        <v/>
      </c>
      <c r="FC7" s="543">
        <f>IF('ปฏิทิน'!FC5="","",CHOOSE(WEEKDAY('ปฏิทิน'!FC5,2),"จ.","อ.","พ.","พฤ.","ศ.","ส.","อา."))</f>
        <v/>
      </c>
      <c r="FD7" s="543">
        <f>IF('ปฏิทิน'!FD5="","",CHOOSE(WEEKDAY('ปฏิทิน'!FD5,2),"จ.","อ.","พ.","พฤ.","ศ.","ส.","อา."))</f>
        <v/>
      </c>
      <c r="FE7" s="543">
        <f>IF('ปฏิทิน'!FE5="","",CHOOSE(WEEKDAY('ปฏิทิน'!FE5,2),"จ.","อ.","พ.","พฤ.","ศ.","ส.","อา."))</f>
        <v/>
      </c>
      <c r="FF7" s="543">
        <f>IF('ปฏิทิน'!FF5="","",CHOOSE(WEEKDAY('ปฏิทิน'!FF5,2),"จ.","อ.","พ.","พฤ.","ศ.","ส.","อา."))</f>
        <v/>
      </c>
      <c r="FG7" s="543">
        <f>IF('ปฏิทิน'!FG5="","",CHOOSE(WEEKDAY('ปฏิทิน'!FG5,2),"จ.","อ.","พ.","พฤ.","ศ.","ส.","อา."))</f>
        <v/>
      </c>
      <c r="FH7" s="543">
        <f>IF('ปฏิทิน'!FH5="","",CHOOSE(WEEKDAY('ปฏิทิน'!FH5,2),"จ.","อ.","พ.","พฤ.","ศ.","ส.","อา."))</f>
        <v/>
      </c>
      <c r="FI7" s="543">
        <f>IF('ปฏิทิน'!FI5="","",CHOOSE(WEEKDAY('ปฏิทิน'!FI5,2),"จ.","อ.","พ.","พฤ.","ศ.","ส.","อา."))</f>
        <v/>
      </c>
      <c r="FJ7" s="543">
        <f>IF('ปฏิทิน'!FJ5="","",CHOOSE(WEEKDAY('ปฏิทิน'!FJ5,2),"จ.","อ.","พ.","พฤ.","ศ.","ส.","อา."))</f>
        <v/>
      </c>
      <c r="FK7" s="543">
        <f>IF('ปฏิทิน'!FK5="","",CHOOSE(WEEKDAY('ปฏิทิน'!FK5,2),"จ.","อ.","พ.","พฤ.","ศ.","ส.","อา."))</f>
        <v/>
      </c>
      <c r="FL7" s="543">
        <f>IF('ปฏิทิน'!FL5="","",CHOOSE(WEEKDAY('ปฏิทิน'!FL5,2),"จ.","อ.","พ.","พฤ.","ศ.","ส.","อา."))</f>
        <v/>
      </c>
      <c r="FM7" s="543">
        <f>IF('ปฏิทิน'!FM5="","",CHOOSE(WEEKDAY('ปฏิทิน'!FM5,2),"จ.","อ.","พ.","พฤ.","ศ.","ส.","อา."))</f>
        <v/>
      </c>
      <c r="FN7" s="543">
        <f>IF('ปฏิทิน'!FN5="","",CHOOSE(WEEKDAY('ปฏิทิน'!FN5,2),"จ.","อ.","พ.","พฤ.","ศ.","ส.","อา."))</f>
        <v/>
      </c>
      <c r="FO7" s="544" t="n"/>
    </row>
    <row r="8" ht="64" customHeight="1">
      <c r="D8" s="545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544" t="n"/>
      <c r="AL8" s="545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544" t="n"/>
      <c r="BT8" s="545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544" t="n"/>
      <c r="DB8" s="545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544" t="n"/>
      <c r="EJ8" s="545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544" t="n"/>
    </row>
    <row r="9">
      <c r="A9" s="218" t="n">
        <v>1</v>
      </c>
      <c r="B9" s="219">
        <f>'ข้อมูลนักเรียน'!T9</f>
        <v/>
      </c>
      <c r="C9" s="546">
        <f>IF(B9="","",IFERROR(COUNTIF(D9:FQ9,"น")/(COUNTIF(D9:FQ9,"น")+COUNTIF(D9:FQ9,"พ")+COUNTIF(D9:FQ9,"ง")),""))</f>
        <v/>
      </c>
      <c r="D9" s="547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48">
        <f>IF($B9="","",COUNTIF(D9:AH9,"น"))</f>
        <v/>
      </c>
      <c r="AJ9" s="549">
        <f>IF($B9="","",COUNTIF(D9:AH9,"พ"))</f>
        <v/>
      </c>
      <c r="AK9" s="550">
        <f>IF($B9="","",COUNTIF(D9:AH9,"ง"))</f>
        <v/>
      </c>
      <c r="AL9" s="547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48">
        <f>IF($B9="","",COUNTIF(AL9:BP9,"น"))</f>
        <v/>
      </c>
      <c r="BR9" s="549">
        <f>IF($B9="","",COUNTIF(AL9:BP9,"พ"))</f>
        <v/>
      </c>
      <c r="BS9" s="550">
        <f>IF($B9="","",COUNTIF(AL9:BP9,"ง"))</f>
        <v/>
      </c>
      <c r="BT9" s="547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48">
        <f>IF($B9="","",COUNTIF(BT9:CX9,"น"))</f>
        <v/>
      </c>
      <c r="CZ9" s="549">
        <f>IF($B9="","",COUNTIF(BT9:CX9,"พ"))</f>
        <v/>
      </c>
      <c r="DA9" s="550">
        <f>IF($B9="","",COUNTIF(BT9:CX9,"ง"))</f>
        <v/>
      </c>
      <c r="DB9" s="547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48">
        <f>IF($B9="","",COUNTIF(DB9:EF9,"น"))</f>
        <v/>
      </c>
      <c r="EH9" s="549">
        <f>IF($B9="","",COUNTIF(DB9:EF9,"พ"))</f>
        <v/>
      </c>
      <c r="EI9" s="550">
        <f>IF($B9="","",COUNTIF(DB9:EF9,"ง"))</f>
        <v/>
      </c>
      <c r="EJ9" s="547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48">
        <f>IF($B9="","",COUNTIF(EJ9:FN9,"น"))</f>
        <v/>
      </c>
      <c r="FP9" s="549">
        <f>IF($B9="","",COUNTIF(EJ9:FN9,"พ"))</f>
        <v/>
      </c>
      <c r="FQ9" s="550">
        <f>IF($B9="","",COUNTIF(EJ9:FN9,"ง"))</f>
        <v/>
      </c>
    </row>
    <row r="10">
      <c r="A10" s="226" t="n">
        <v>2</v>
      </c>
      <c r="B10" s="227">
        <f>'ข้อมูลนักเรียน'!T10</f>
        <v/>
      </c>
      <c r="C10" s="546">
        <f>IF(B10="","",IFERROR(COUNTIF(D10:FQ10,"น")/(COUNTIF(D10:FQ10,"น")+COUNTIF(D10:FQ10,"พ")+COUNTIF(D10:FQ10,"ง")),""))</f>
        <v/>
      </c>
      <c r="D10" s="547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48">
        <f>IF($B10="","",COUNTIF(D10:AH10,"น"))</f>
        <v/>
      </c>
      <c r="AJ10" s="549">
        <f>IF($B10="","",COUNTIF(D10:AH10,"พ"))</f>
        <v/>
      </c>
      <c r="AK10" s="550">
        <f>IF($B10="","",COUNTIF(D10:AH10,"ง"))</f>
        <v/>
      </c>
      <c r="AL10" s="547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48">
        <f>IF($B10="","",COUNTIF(AL10:BP10,"น"))</f>
        <v/>
      </c>
      <c r="BR10" s="549">
        <f>IF($B10="","",COUNTIF(AL10:BP10,"พ"))</f>
        <v/>
      </c>
      <c r="BS10" s="550">
        <f>IF($B10="","",COUNTIF(AL10:BP10,"ง"))</f>
        <v/>
      </c>
      <c r="BT10" s="547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48">
        <f>IF($B10="","",COUNTIF(BT10:CX10,"น"))</f>
        <v/>
      </c>
      <c r="CZ10" s="549">
        <f>IF($B10="","",COUNTIF(BT10:CX10,"พ"))</f>
        <v/>
      </c>
      <c r="DA10" s="550">
        <f>IF($B10="","",COUNTIF(BT10:CX10,"ง"))</f>
        <v/>
      </c>
      <c r="DB10" s="547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48">
        <f>IF($B10="","",COUNTIF(DB10:EF10,"น"))</f>
        <v/>
      </c>
      <c r="EH10" s="549">
        <f>IF($B10="","",COUNTIF(DB10:EF10,"พ"))</f>
        <v/>
      </c>
      <c r="EI10" s="550">
        <f>IF($B10="","",COUNTIF(DB10:EF10,"ง"))</f>
        <v/>
      </c>
      <c r="EJ10" s="547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48">
        <f>IF($B10="","",COUNTIF(EJ10:FN10,"น"))</f>
        <v/>
      </c>
      <c r="FP10" s="549">
        <f>IF($B10="","",COUNTIF(EJ10:FN10,"พ"))</f>
        <v/>
      </c>
      <c r="FQ10" s="550">
        <f>IF($B10="","",COUNTIF(EJ10:FN10,"ง"))</f>
        <v/>
      </c>
    </row>
    <row r="11">
      <c r="A11" s="218" t="n">
        <v>3</v>
      </c>
      <c r="B11" s="219">
        <f>'ข้อมูลนักเรียน'!T11</f>
        <v/>
      </c>
      <c r="C11" s="546">
        <f>IF(B11="","",IFERROR(COUNTIF(D11:FQ11,"น")/(COUNTIF(D11:FQ11,"น")+COUNTIF(D11:FQ11,"พ")+COUNTIF(D11:FQ11,"ง")),""))</f>
        <v/>
      </c>
      <c r="D11" s="547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48">
        <f>IF($B11="","",COUNTIF(D11:AH11,"น"))</f>
        <v/>
      </c>
      <c r="AJ11" s="549">
        <f>IF($B11="","",COUNTIF(D11:AH11,"พ"))</f>
        <v/>
      </c>
      <c r="AK11" s="550">
        <f>IF($B11="","",COUNTIF(D11:AH11,"ง"))</f>
        <v/>
      </c>
      <c r="AL11" s="547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48">
        <f>IF($B11="","",COUNTIF(AL11:BP11,"น"))</f>
        <v/>
      </c>
      <c r="BR11" s="549">
        <f>IF($B11="","",COUNTIF(AL11:BP11,"พ"))</f>
        <v/>
      </c>
      <c r="BS11" s="550">
        <f>IF($B11="","",COUNTIF(AL11:BP11,"ง"))</f>
        <v/>
      </c>
      <c r="BT11" s="547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48">
        <f>IF($B11="","",COUNTIF(BT11:CX11,"น"))</f>
        <v/>
      </c>
      <c r="CZ11" s="549">
        <f>IF($B11="","",COUNTIF(BT11:CX11,"พ"))</f>
        <v/>
      </c>
      <c r="DA11" s="550">
        <f>IF($B11="","",COUNTIF(BT11:CX11,"ง"))</f>
        <v/>
      </c>
      <c r="DB11" s="547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48">
        <f>IF($B11="","",COUNTIF(DB11:EF11,"น"))</f>
        <v/>
      </c>
      <c r="EH11" s="549">
        <f>IF($B11="","",COUNTIF(DB11:EF11,"พ"))</f>
        <v/>
      </c>
      <c r="EI11" s="550">
        <f>IF($B11="","",COUNTIF(DB11:EF11,"ง"))</f>
        <v/>
      </c>
      <c r="EJ11" s="547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48">
        <f>IF($B11="","",COUNTIF(EJ11:FN11,"น"))</f>
        <v/>
      </c>
      <c r="FP11" s="549">
        <f>IF($B11="","",COUNTIF(EJ11:FN11,"พ"))</f>
        <v/>
      </c>
      <c r="FQ11" s="550">
        <f>IF($B11="","",COUNTIF(EJ11:FN11,"ง"))</f>
        <v/>
      </c>
    </row>
    <row r="12">
      <c r="A12" s="226" t="n">
        <v>4</v>
      </c>
      <c r="B12" s="227">
        <f>'ข้อมูลนักเรียน'!T12</f>
        <v/>
      </c>
      <c r="C12" s="546">
        <f>IF(B12="","",IFERROR(COUNTIF(D12:FQ12,"น")/(COUNTIF(D12:FQ12,"น")+COUNTIF(D12:FQ12,"พ")+COUNTIF(D12:FQ12,"ง")),""))</f>
        <v/>
      </c>
      <c r="D12" s="547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48">
        <f>IF($B12="","",COUNTIF(D12:AH12,"น"))</f>
        <v/>
      </c>
      <c r="AJ12" s="549">
        <f>IF($B12="","",COUNTIF(D12:AH12,"พ"))</f>
        <v/>
      </c>
      <c r="AK12" s="550">
        <f>IF($B12="","",COUNTIF(D12:AH12,"ง"))</f>
        <v/>
      </c>
      <c r="AL12" s="547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48">
        <f>IF($B12="","",COUNTIF(AL12:BP12,"น"))</f>
        <v/>
      </c>
      <c r="BR12" s="549">
        <f>IF($B12="","",COUNTIF(AL12:BP12,"พ"))</f>
        <v/>
      </c>
      <c r="BS12" s="550">
        <f>IF($B12="","",COUNTIF(AL12:BP12,"ง"))</f>
        <v/>
      </c>
      <c r="BT12" s="547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48">
        <f>IF($B12="","",COUNTIF(BT12:CX12,"น"))</f>
        <v/>
      </c>
      <c r="CZ12" s="549">
        <f>IF($B12="","",COUNTIF(BT12:CX12,"พ"))</f>
        <v/>
      </c>
      <c r="DA12" s="550">
        <f>IF($B12="","",COUNTIF(BT12:CX12,"ง"))</f>
        <v/>
      </c>
      <c r="DB12" s="547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48">
        <f>IF($B12="","",COUNTIF(DB12:EF12,"น"))</f>
        <v/>
      </c>
      <c r="EH12" s="549">
        <f>IF($B12="","",COUNTIF(DB12:EF12,"พ"))</f>
        <v/>
      </c>
      <c r="EI12" s="550">
        <f>IF($B12="","",COUNTIF(DB12:EF12,"ง"))</f>
        <v/>
      </c>
      <c r="EJ12" s="547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48">
        <f>IF($B12="","",COUNTIF(EJ12:FN12,"น"))</f>
        <v/>
      </c>
      <c r="FP12" s="549">
        <f>IF($B12="","",COUNTIF(EJ12:FN12,"พ"))</f>
        <v/>
      </c>
      <c r="FQ12" s="550">
        <f>IF($B12="","",COUNTIF(EJ12:FN12,"ง"))</f>
        <v/>
      </c>
    </row>
    <row r="13">
      <c r="A13" s="218" t="n">
        <v>5</v>
      </c>
      <c r="B13" s="219">
        <f>'ข้อมูลนักเรียน'!T13</f>
        <v/>
      </c>
      <c r="C13" s="546">
        <f>IF(B13="","",IFERROR(COUNTIF(D13:FQ13,"น")/(COUNTIF(D13:FQ13,"น")+COUNTIF(D13:FQ13,"พ")+COUNTIF(D13:FQ13,"ง")),""))</f>
        <v/>
      </c>
      <c r="D13" s="547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48">
        <f>IF($B13="","",COUNTIF(D13:AH13,"น"))</f>
        <v/>
      </c>
      <c r="AJ13" s="549">
        <f>IF($B13="","",COUNTIF(D13:AH13,"พ"))</f>
        <v/>
      </c>
      <c r="AK13" s="550">
        <f>IF($B13="","",COUNTIF(D13:AH13,"ง"))</f>
        <v/>
      </c>
      <c r="AL13" s="547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48">
        <f>IF($B13="","",COUNTIF(AL13:BP13,"น"))</f>
        <v/>
      </c>
      <c r="BR13" s="549">
        <f>IF($B13="","",COUNTIF(AL13:BP13,"พ"))</f>
        <v/>
      </c>
      <c r="BS13" s="550">
        <f>IF($B13="","",COUNTIF(AL13:BP13,"ง"))</f>
        <v/>
      </c>
      <c r="BT13" s="547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48">
        <f>IF($B13="","",COUNTIF(BT13:CX13,"น"))</f>
        <v/>
      </c>
      <c r="CZ13" s="549">
        <f>IF($B13="","",COUNTIF(BT13:CX13,"พ"))</f>
        <v/>
      </c>
      <c r="DA13" s="550">
        <f>IF($B13="","",COUNTIF(BT13:CX13,"ง"))</f>
        <v/>
      </c>
      <c r="DB13" s="547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48">
        <f>IF($B13="","",COUNTIF(DB13:EF13,"น"))</f>
        <v/>
      </c>
      <c r="EH13" s="549">
        <f>IF($B13="","",COUNTIF(DB13:EF13,"พ"))</f>
        <v/>
      </c>
      <c r="EI13" s="550">
        <f>IF($B13="","",COUNTIF(DB13:EF13,"ง"))</f>
        <v/>
      </c>
      <c r="EJ13" s="547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48">
        <f>IF($B13="","",COUNTIF(EJ13:FN13,"น"))</f>
        <v/>
      </c>
      <c r="FP13" s="549">
        <f>IF($B13="","",COUNTIF(EJ13:FN13,"พ"))</f>
        <v/>
      </c>
      <c r="FQ13" s="550">
        <f>IF($B13="","",COUNTIF(EJ13:FN13,"ง"))</f>
        <v/>
      </c>
    </row>
    <row r="14">
      <c r="A14" s="551" t="inlineStr">
        <is>
          <t>นอนหลับ (คน)</t>
        </is>
      </c>
      <c r="B14" s="184" t="n"/>
      <c r="C14" s="184" t="n"/>
      <c r="D14" s="552">
        <f>IF(D$4&lt;&gt;1,"",COUNTIF(D9:D13,"น"))</f>
        <v/>
      </c>
      <c r="E14" s="553">
        <f>IF(E$4&lt;&gt;1,"",COUNTIF(E9:E13,"น"))</f>
        <v/>
      </c>
      <c r="F14" s="553">
        <f>IF(F$4&lt;&gt;1,"",COUNTIF(F9:F13,"น"))</f>
        <v/>
      </c>
      <c r="G14" s="553">
        <f>IF(G$4&lt;&gt;1,"",COUNTIF(G9:G13,"น"))</f>
        <v/>
      </c>
      <c r="H14" s="553">
        <f>IF(H$4&lt;&gt;1,"",COUNTIF(H9:H13,"น"))</f>
        <v/>
      </c>
      <c r="I14" s="553">
        <f>IF(I$4&lt;&gt;1,"",COUNTIF(I9:I13,"น"))</f>
        <v/>
      </c>
      <c r="J14" s="553">
        <f>IF(J$4&lt;&gt;1,"",COUNTIF(J9:J13,"น"))</f>
        <v/>
      </c>
      <c r="K14" s="553">
        <f>IF(K$4&lt;&gt;1,"",COUNTIF(K9:K13,"น"))</f>
        <v/>
      </c>
      <c r="L14" s="553">
        <f>IF(L$4&lt;&gt;1,"",COUNTIF(L9:L13,"น"))</f>
        <v/>
      </c>
      <c r="M14" s="553">
        <f>IF(M$4&lt;&gt;1,"",COUNTIF(M9:M13,"น"))</f>
        <v/>
      </c>
      <c r="N14" s="553">
        <f>IF(N$4&lt;&gt;1,"",COUNTIF(N9:N13,"น"))</f>
        <v/>
      </c>
      <c r="O14" s="553">
        <f>IF(O$4&lt;&gt;1,"",COUNTIF(O9:O13,"น"))</f>
        <v/>
      </c>
      <c r="P14" s="553">
        <f>IF(P$4&lt;&gt;1,"",COUNTIF(P9:P13,"น"))</f>
        <v/>
      </c>
      <c r="Q14" s="553">
        <f>IF(Q$4&lt;&gt;1,"",COUNTIF(Q9:Q13,"น"))</f>
        <v/>
      </c>
      <c r="R14" s="553">
        <f>IF(R$4&lt;&gt;1,"",COUNTIF(R9:R13,"น"))</f>
        <v/>
      </c>
      <c r="S14" s="553">
        <f>IF(S$4&lt;&gt;1,"",COUNTIF(S9:S13,"น"))</f>
        <v/>
      </c>
      <c r="T14" s="553">
        <f>IF(T$4&lt;&gt;1,"",COUNTIF(T9:T13,"น"))</f>
        <v/>
      </c>
      <c r="U14" s="553">
        <f>IF(U$4&lt;&gt;1,"",COUNTIF(U9:U13,"น"))</f>
        <v/>
      </c>
      <c r="V14" s="553">
        <f>IF(V$4&lt;&gt;1,"",COUNTIF(V9:V13,"น"))</f>
        <v/>
      </c>
      <c r="W14" s="553">
        <f>IF(W$4&lt;&gt;1,"",COUNTIF(W9:W13,"น"))</f>
        <v/>
      </c>
      <c r="X14" s="553">
        <f>IF(X$4&lt;&gt;1,"",COUNTIF(X9:X13,"น"))</f>
        <v/>
      </c>
      <c r="Y14" s="553">
        <f>IF(Y$4&lt;&gt;1,"",COUNTIF(Y9:Y13,"น"))</f>
        <v/>
      </c>
      <c r="Z14" s="553">
        <f>IF(Z$4&lt;&gt;1,"",COUNTIF(Z9:Z13,"น"))</f>
        <v/>
      </c>
      <c r="AA14" s="553">
        <f>IF(AA$4&lt;&gt;1,"",COUNTIF(AA9:AA13,"น"))</f>
        <v/>
      </c>
      <c r="AB14" s="553">
        <f>IF(AB$4&lt;&gt;1,"",COUNTIF(AB9:AB13,"น"))</f>
        <v/>
      </c>
      <c r="AC14" s="553">
        <f>IF(AC$4&lt;&gt;1,"",COUNTIF(AC9:AC13,"น"))</f>
        <v/>
      </c>
      <c r="AD14" s="553">
        <f>IF(AD$4&lt;&gt;1,"",COUNTIF(AD9:AD13,"น"))</f>
        <v/>
      </c>
      <c r="AE14" s="553">
        <f>IF(AE$4&lt;&gt;1,"",COUNTIF(AE9:AE13,"น"))</f>
        <v/>
      </c>
      <c r="AF14" s="553">
        <f>IF(AF$4&lt;&gt;1,"",COUNTIF(AF9:AF13,"น"))</f>
        <v/>
      </c>
      <c r="AG14" s="553">
        <f>IF(AG$4&lt;&gt;1,"",COUNTIF(AG9:AG13,"น"))</f>
        <v/>
      </c>
      <c r="AH14" s="553">
        <f>IF(AH$4&lt;&gt;1,"",COUNTIF(AH9:AH13,"น"))</f>
        <v/>
      </c>
      <c r="AI14" s="554">
        <f>SUM(AI9:AI13)</f>
        <v/>
      </c>
      <c r="AJ14" s="555">
        <f>SUM(AJ9:AJ13)</f>
        <v/>
      </c>
      <c r="AK14" s="556">
        <f>SUM(AK9:AK13)</f>
        <v/>
      </c>
      <c r="AL14" s="552">
        <f>IF(AL$4&lt;&gt;1,"",COUNTIF(AL9:AL13,"น"))</f>
        <v/>
      </c>
      <c r="AM14" s="553">
        <f>IF(AM$4&lt;&gt;1,"",COUNTIF(AM9:AM13,"น"))</f>
        <v/>
      </c>
      <c r="AN14" s="553">
        <f>IF(AN$4&lt;&gt;1,"",COUNTIF(AN9:AN13,"น"))</f>
        <v/>
      </c>
      <c r="AO14" s="553">
        <f>IF(AO$4&lt;&gt;1,"",COUNTIF(AO9:AO13,"น"))</f>
        <v/>
      </c>
      <c r="AP14" s="553">
        <f>IF(AP$4&lt;&gt;1,"",COUNTIF(AP9:AP13,"น"))</f>
        <v/>
      </c>
      <c r="AQ14" s="553">
        <f>IF(AQ$4&lt;&gt;1,"",COUNTIF(AQ9:AQ13,"น"))</f>
        <v/>
      </c>
      <c r="AR14" s="553">
        <f>IF(AR$4&lt;&gt;1,"",COUNTIF(AR9:AR13,"น"))</f>
        <v/>
      </c>
      <c r="AS14" s="553">
        <f>IF(AS$4&lt;&gt;1,"",COUNTIF(AS9:AS13,"น"))</f>
        <v/>
      </c>
      <c r="AT14" s="553">
        <f>IF(AT$4&lt;&gt;1,"",COUNTIF(AT9:AT13,"น"))</f>
        <v/>
      </c>
      <c r="AU14" s="553">
        <f>IF(AU$4&lt;&gt;1,"",COUNTIF(AU9:AU13,"น"))</f>
        <v/>
      </c>
      <c r="AV14" s="553">
        <f>IF(AV$4&lt;&gt;1,"",COUNTIF(AV9:AV13,"น"))</f>
        <v/>
      </c>
      <c r="AW14" s="553">
        <f>IF(AW$4&lt;&gt;1,"",COUNTIF(AW9:AW13,"น"))</f>
        <v/>
      </c>
      <c r="AX14" s="553">
        <f>IF(AX$4&lt;&gt;1,"",COUNTIF(AX9:AX13,"น"))</f>
        <v/>
      </c>
      <c r="AY14" s="553">
        <f>IF(AY$4&lt;&gt;1,"",COUNTIF(AY9:AY13,"น"))</f>
        <v/>
      </c>
      <c r="AZ14" s="553">
        <f>IF(AZ$4&lt;&gt;1,"",COUNTIF(AZ9:AZ13,"น"))</f>
        <v/>
      </c>
      <c r="BA14" s="553">
        <f>IF(BA$4&lt;&gt;1,"",COUNTIF(BA9:BA13,"น"))</f>
        <v/>
      </c>
      <c r="BB14" s="553">
        <f>IF(BB$4&lt;&gt;1,"",COUNTIF(BB9:BB13,"น"))</f>
        <v/>
      </c>
      <c r="BC14" s="553">
        <f>IF(BC$4&lt;&gt;1,"",COUNTIF(BC9:BC13,"น"))</f>
        <v/>
      </c>
      <c r="BD14" s="553">
        <f>IF(BD$4&lt;&gt;1,"",COUNTIF(BD9:BD13,"น"))</f>
        <v/>
      </c>
      <c r="BE14" s="553">
        <f>IF(BE$4&lt;&gt;1,"",COUNTIF(BE9:BE13,"น"))</f>
        <v/>
      </c>
      <c r="BF14" s="553">
        <f>IF(BF$4&lt;&gt;1,"",COUNTIF(BF9:BF13,"น"))</f>
        <v/>
      </c>
      <c r="BG14" s="553">
        <f>IF(BG$4&lt;&gt;1,"",COUNTIF(BG9:BG13,"น"))</f>
        <v/>
      </c>
      <c r="BH14" s="553">
        <f>IF(BH$4&lt;&gt;1,"",COUNTIF(BH9:BH13,"น"))</f>
        <v/>
      </c>
      <c r="BI14" s="553">
        <f>IF(BI$4&lt;&gt;1,"",COUNTIF(BI9:BI13,"น"))</f>
        <v/>
      </c>
      <c r="BJ14" s="553">
        <f>IF(BJ$4&lt;&gt;1,"",COUNTIF(BJ9:BJ13,"น"))</f>
        <v/>
      </c>
      <c r="BK14" s="553">
        <f>IF(BK$4&lt;&gt;1,"",COUNTIF(BK9:BK13,"น"))</f>
        <v/>
      </c>
      <c r="BL14" s="553">
        <f>IF(BL$4&lt;&gt;1,"",COUNTIF(BL9:BL13,"น"))</f>
        <v/>
      </c>
      <c r="BM14" s="553">
        <f>IF(BM$4&lt;&gt;1,"",COUNTIF(BM9:BM13,"น"))</f>
        <v/>
      </c>
      <c r="BN14" s="553">
        <f>IF(BN$4&lt;&gt;1,"",COUNTIF(BN9:BN13,"น"))</f>
        <v/>
      </c>
      <c r="BO14" s="553">
        <f>IF(BO$4&lt;&gt;1,"",COUNTIF(BO9:BO13,"น"))</f>
        <v/>
      </c>
      <c r="BP14" s="553">
        <f>IF(BP$4&lt;&gt;1,"",COUNTIF(BP9:BP13,"น"))</f>
        <v/>
      </c>
      <c r="BQ14" s="554">
        <f>SUM(BQ9:BQ13)</f>
        <v/>
      </c>
      <c r="BR14" s="555">
        <f>SUM(BR9:BR13)</f>
        <v/>
      </c>
      <c r="BS14" s="556">
        <f>SUM(BS9:BS13)</f>
        <v/>
      </c>
      <c r="BT14" s="552">
        <f>IF(BT$4&lt;&gt;1,"",COUNTIF(BT9:BT13,"น"))</f>
        <v/>
      </c>
      <c r="BU14" s="553">
        <f>IF(BU$4&lt;&gt;1,"",COUNTIF(BU9:BU13,"น"))</f>
        <v/>
      </c>
      <c r="BV14" s="553">
        <f>IF(BV$4&lt;&gt;1,"",COUNTIF(BV9:BV13,"น"))</f>
        <v/>
      </c>
      <c r="BW14" s="553">
        <f>IF(BW$4&lt;&gt;1,"",COUNTIF(BW9:BW13,"น"))</f>
        <v/>
      </c>
      <c r="BX14" s="553">
        <f>IF(BX$4&lt;&gt;1,"",COUNTIF(BX9:BX13,"น"))</f>
        <v/>
      </c>
      <c r="BY14" s="553">
        <f>IF(BY$4&lt;&gt;1,"",COUNTIF(BY9:BY13,"น"))</f>
        <v/>
      </c>
      <c r="BZ14" s="553">
        <f>IF(BZ$4&lt;&gt;1,"",COUNTIF(BZ9:BZ13,"น"))</f>
        <v/>
      </c>
      <c r="CA14" s="553">
        <f>IF(CA$4&lt;&gt;1,"",COUNTIF(CA9:CA13,"น"))</f>
        <v/>
      </c>
      <c r="CB14" s="553">
        <f>IF(CB$4&lt;&gt;1,"",COUNTIF(CB9:CB13,"น"))</f>
        <v/>
      </c>
      <c r="CC14" s="553">
        <f>IF(CC$4&lt;&gt;1,"",COUNTIF(CC9:CC13,"น"))</f>
        <v/>
      </c>
      <c r="CD14" s="553">
        <f>IF(CD$4&lt;&gt;1,"",COUNTIF(CD9:CD13,"น"))</f>
        <v/>
      </c>
      <c r="CE14" s="553">
        <f>IF(CE$4&lt;&gt;1,"",COUNTIF(CE9:CE13,"น"))</f>
        <v/>
      </c>
      <c r="CF14" s="553">
        <f>IF(CF$4&lt;&gt;1,"",COUNTIF(CF9:CF13,"น"))</f>
        <v/>
      </c>
      <c r="CG14" s="553">
        <f>IF(CG$4&lt;&gt;1,"",COUNTIF(CG9:CG13,"น"))</f>
        <v/>
      </c>
      <c r="CH14" s="553">
        <f>IF(CH$4&lt;&gt;1,"",COUNTIF(CH9:CH13,"น"))</f>
        <v/>
      </c>
      <c r="CI14" s="553">
        <f>IF(CI$4&lt;&gt;1,"",COUNTIF(CI9:CI13,"น"))</f>
        <v/>
      </c>
      <c r="CJ14" s="553">
        <f>IF(CJ$4&lt;&gt;1,"",COUNTIF(CJ9:CJ13,"น"))</f>
        <v/>
      </c>
      <c r="CK14" s="553">
        <f>IF(CK$4&lt;&gt;1,"",COUNTIF(CK9:CK13,"น"))</f>
        <v/>
      </c>
      <c r="CL14" s="553">
        <f>IF(CL$4&lt;&gt;1,"",COUNTIF(CL9:CL13,"น"))</f>
        <v/>
      </c>
      <c r="CM14" s="553">
        <f>IF(CM$4&lt;&gt;1,"",COUNTIF(CM9:CM13,"น"))</f>
        <v/>
      </c>
      <c r="CN14" s="553">
        <f>IF(CN$4&lt;&gt;1,"",COUNTIF(CN9:CN13,"น"))</f>
        <v/>
      </c>
      <c r="CO14" s="553">
        <f>IF(CO$4&lt;&gt;1,"",COUNTIF(CO9:CO13,"น"))</f>
        <v/>
      </c>
      <c r="CP14" s="553">
        <f>IF(CP$4&lt;&gt;1,"",COUNTIF(CP9:CP13,"น"))</f>
        <v/>
      </c>
      <c r="CQ14" s="553">
        <f>IF(CQ$4&lt;&gt;1,"",COUNTIF(CQ9:CQ13,"น"))</f>
        <v/>
      </c>
      <c r="CR14" s="553">
        <f>IF(CR$4&lt;&gt;1,"",COUNTIF(CR9:CR13,"น"))</f>
        <v/>
      </c>
      <c r="CS14" s="553">
        <f>IF(CS$4&lt;&gt;1,"",COUNTIF(CS9:CS13,"น"))</f>
        <v/>
      </c>
      <c r="CT14" s="553">
        <f>IF(CT$4&lt;&gt;1,"",COUNTIF(CT9:CT13,"น"))</f>
        <v/>
      </c>
      <c r="CU14" s="553">
        <f>IF(CU$4&lt;&gt;1,"",COUNTIF(CU9:CU13,"น"))</f>
        <v/>
      </c>
      <c r="CV14" s="553">
        <f>IF(CV$4&lt;&gt;1,"",COUNTIF(CV9:CV13,"น"))</f>
        <v/>
      </c>
      <c r="CW14" s="553">
        <f>IF(CW$4&lt;&gt;1,"",COUNTIF(CW9:CW13,"น"))</f>
        <v/>
      </c>
      <c r="CX14" s="553">
        <f>IF(CX$4&lt;&gt;1,"",COUNTIF(CX9:CX13,"น"))</f>
        <v/>
      </c>
      <c r="CY14" s="554">
        <f>SUM(CY9:CY13)</f>
        <v/>
      </c>
      <c r="CZ14" s="555">
        <f>SUM(CZ9:CZ13)</f>
        <v/>
      </c>
      <c r="DA14" s="556">
        <f>SUM(DA9:DA13)</f>
        <v/>
      </c>
      <c r="DB14" s="552">
        <f>IF(DB$4&lt;&gt;1,"",COUNTIF(DB9:DB13,"น"))</f>
        <v/>
      </c>
      <c r="DC14" s="553">
        <f>IF(DC$4&lt;&gt;1,"",COUNTIF(DC9:DC13,"น"))</f>
        <v/>
      </c>
      <c r="DD14" s="553">
        <f>IF(DD$4&lt;&gt;1,"",COUNTIF(DD9:DD13,"น"))</f>
        <v/>
      </c>
      <c r="DE14" s="553">
        <f>IF(DE$4&lt;&gt;1,"",COUNTIF(DE9:DE13,"น"))</f>
        <v/>
      </c>
      <c r="DF14" s="553">
        <f>IF(DF$4&lt;&gt;1,"",COUNTIF(DF9:DF13,"น"))</f>
        <v/>
      </c>
      <c r="DG14" s="553">
        <f>IF(DG$4&lt;&gt;1,"",COUNTIF(DG9:DG13,"น"))</f>
        <v/>
      </c>
      <c r="DH14" s="553">
        <f>IF(DH$4&lt;&gt;1,"",COUNTIF(DH9:DH13,"น"))</f>
        <v/>
      </c>
      <c r="DI14" s="553">
        <f>IF(DI$4&lt;&gt;1,"",COUNTIF(DI9:DI13,"น"))</f>
        <v/>
      </c>
      <c r="DJ14" s="553">
        <f>IF(DJ$4&lt;&gt;1,"",COUNTIF(DJ9:DJ13,"น"))</f>
        <v/>
      </c>
      <c r="DK14" s="553">
        <f>IF(DK$4&lt;&gt;1,"",COUNTIF(DK9:DK13,"น"))</f>
        <v/>
      </c>
      <c r="DL14" s="553">
        <f>IF(DL$4&lt;&gt;1,"",COUNTIF(DL9:DL13,"น"))</f>
        <v/>
      </c>
      <c r="DM14" s="553">
        <f>IF(DM$4&lt;&gt;1,"",COUNTIF(DM9:DM13,"น"))</f>
        <v/>
      </c>
      <c r="DN14" s="553">
        <f>IF(DN$4&lt;&gt;1,"",COUNTIF(DN9:DN13,"น"))</f>
        <v/>
      </c>
      <c r="DO14" s="553">
        <f>IF(DO$4&lt;&gt;1,"",COUNTIF(DO9:DO13,"น"))</f>
        <v/>
      </c>
      <c r="DP14" s="553">
        <f>IF(DP$4&lt;&gt;1,"",COUNTIF(DP9:DP13,"น"))</f>
        <v/>
      </c>
      <c r="DQ14" s="553">
        <f>IF(DQ$4&lt;&gt;1,"",COUNTIF(DQ9:DQ13,"น"))</f>
        <v/>
      </c>
      <c r="DR14" s="553">
        <f>IF(DR$4&lt;&gt;1,"",COUNTIF(DR9:DR13,"น"))</f>
        <v/>
      </c>
      <c r="DS14" s="553">
        <f>IF(DS$4&lt;&gt;1,"",COUNTIF(DS9:DS13,"น"))</f>
        <v/>
      </c>
      <c r="DT14" s="553">
        <f>IF(DT$4&lt;&gt;1,"",COUNTIF(DT9:DT13,"น"))</f>
        <v/>
      </c>
      <c r="DU14" s="553">
        <f>IF(DU$4&lt;&gt;1,"",COUNTIF(DU9:DU13,"น"))</f>
        <v/>
      </c>
      <c r="DV14" s="553">
        <f>IF(DV$4&lt;&gt;1,"",COUNTIF(DV9:DV13,"น"))</f>
        <v/>
      </c>
      <c r="DW14" s="553">
        <f>IF(DW$4&lt;&gt;1,"",COUNTIF(DW9:DW13,"น"))</f>
        <v/>
      </c>
      <c r="DX14" s="553">
        <f>IF(DX$4&lt;&gt;1,"",COUNTIF(DX9:DX13,"น"))</f>
        <v/>
      </c>
      <c r="DY14" s="553">
        <f>IF(DY$4&lt;&gt;1,"",COUNTIF(DY9:DY13,"น"))</f>
        <v/>
      </c>
      <c r="DZ14" s="553">
        <f>IF(DZ$4&lt;&gt;1,"",COUNTIF(DZ9:DZ13,"น"))</f>
        <v/>
      </c>
      <c r="EA14" s="553">
        <f>IF(EA$4&lt;&gt;1,"",COUNTIF(EA9:EA13,"น"))</f>
        <v/>
      </c>
      <c r="EB14" s="553">
        <f>IF(EB$4&lt;&gt;1,"",COUNTIF(EB9:EB13,"น"))</f>
        <v/>
      </c>
      <c r="EC14" s="553">
        <f>IF(EC$4&lt;&gt;1,"",COUNTIF(EC9:EC13,"น"))</f>
        <v/>
      </c>
      <c r="ED14" s="553">
        <f>IF(ED$4&lt;&gt;1,"",COUNTIF(ED9:ED13,"น"))</f>
        <v/>
      </c>
      <c r="EE14" s="553">
        <f>IF(EE$4&lt;&gt;1,"",COUNTIF(EE9:EE13,"น"))</f>
        <v/>
      </c>
      <c r="EF14" s="553">
        <f>IF(EF$4&lt;&gt;1,"",COUNTIF(EF9:EF13,"น"))</f>
        <v/>
      </c>
      <c r="EG14" s="554">
        <f>SUM(EG9:EG13)</f>
        <v/>
      </c>
      <c r="EH14" s="555">
        <f>SUM(EH9:EH13)</f>
        <v/>
      </c>
      <c r="EI14" s="556">
        <f>SUM(EI9:EI13)</f>
        <v/>
      </c>
      <c r="EJ14" s="552">
        <f>IF(EJ$4&lt;&gt;1,"",COUNTIF(EJ9:EJ13,"น"))</f>
        <v/>
      </c>
      <c r="EK14" s="553">
        <f>IF(EK$4&lt;&gt;1,"",COUNTIF(EK9:EK13,"น"))</f>
        <v/>
      </c>
      <c r="EL14" s="553">
        <f>IF(EL$4&lt;&gt;1,"",COUNTIF(EL9:EL13,"น"))</f>
        <v/>
      </c>
      <c r="EM14" s="553">
        <f>IF(EM$4&lt;&gt;1,"",COUNTIF(EM9:EM13,"น"))</f>
        <v/>
      </c>
      <c r="EN14" s="553">
        <f>IF(EN$4&lt;&gt;1,"",COUNTIF(EN9:EN13,"น"))</f>
        <v/>
      </c>
      <c r="EO14" s="553">
        <f>IF(EO$4&lt;&gt;1,"",COUNTIF(EO9:EO13,"น"))</f>
        <v/>
      </c>
      <c r="EP14" s="553">
        <f>IF(EP$4&lt;&gt;1,"",COUNTIF(EP9:EP13,"น"))</f>
        <v/>
      </c>
      <c r="EQ14" s="553">
        <f>IF(EQ$4&lt;&gt;1,"",COUNTIF(EQ9:EQ13,"น"))</f>
        <v/>
      </c>
      <c r="ER14" s="553">
        <f>IF(ER$4&lt;&gt;1,"",COUNTIF(ER9:ER13,"น"))</f>
        <v/>
      </c>
      <c r="ES14" s="553">
        <f>IF(ES$4&lt;&gt;1,"",COUNTIF(ES9:ES13,"น"))</f>
        <v/>
      </c>
      <c r="ET14" s="553">
        <f>IF(ET$4&lt;&gt;1,"",COUNTIF(ET9:ET13,"น"))</f>
        <v/>
      </c>
      <c r="EU14" s="553">
        <f>IF(EU$4&lt;&gt;1,"",COUNTIF(EU9:EU13,"น"))</f>
        <v/>
      </c>
      <c r="EV14" s="553">
        <f>IF(EV$4&lt;&gt;1,"",COUNTIF(EV9:EV13,"น"))</f>
        <v/>
      </c>
      <c r="EW14" s="553">
        <f>IF(EW$4&lt;&gt;1,"",COUNTIF(EW9:EW13,"น"))</f>
        <v/>
      </c>
      <c r="EX14" s="553">
        <f>IF(EX$4&lt;&gt;1,"",COUNTIF(EX9:EX13,"น"))</f>
        <v/>
      </c>
      <c r="EY14" s="553">
        <f>IF(EY$4&lt;&gt;1,"",COUNTIF(EY9:EY13,"น"))</f>
        <v/>
      </c>
      <c r="EZ14" s="553">
        <f>IF(EZ$4&lt;&gt;1,"",COUNTIF(EZ9:EZ13,"น"))</f>
        <v/>
      </c>
      <c r="FA14" s="553">
        <f>IF(FA$4&lt;&gt;1,"",COUNTIF(FA9:FA13,"น"))</f>
        <v/>
      </c>
      <c r="FB14" s="553">
        <f>IF(FB$4&lt;&gt;1,"",COUNTIF(FB9:FB13,"น"))</f>
        <v/>
      </c>
      <c r="FC14" s="553">
        <f>IF(FC$4&lt;&gt;1,"",COUNTIF(FC9:FC13,"น"))</f>
        <v/>
      </c>
      <c r="FD14" s="553">
        <f>IF(FD$4&lt;&gt;1,"",COUNTIF(FD9:FD13,"น"))</f>
        <v/>
      </c>
      <c r="FE14" s="553">
        <f>IF(FE$4&lt;&gt;1,"",COUNTIF(FE9:FE13,"น"))</f>
        <v/>
      </c>
      <c r="FF14" s="553">
        <f>IF(FF$4&lt;&gt;1,"",COUNTIF(FF9:FF13,"น"))</f>
        <v/>
      </c>
      <c r="FG14" s="553">
        <f>IF(FG$4&lt;&gt;1,"",COUNTIF(FG9:FG13,"น"))</f>
        <v/>
      </c>
      <c r="FH14" s="553">
        <f>IF(FH$4&lt;&gt;1,"",COUNTIF(FH9:FH13,"น"))</f>
        <v/>
      </c>
      <c r="FI14" s="553">
        <f>IF(FI$4&lt;&gt;1,"",COUNTIF(FI9:FI13,"น"))</f>
        <v/>
      </c>
      <c r="FJ14" s="553">
        <f>IF(FJ$4&lt;&gt;1,"",COUNTIF(FJ9:FJ13,"น"))</f>
        <v/>
      </c>
      <c r="FK14" s="553">
        <f>IF(FK$4&lt;&gt;1,"",COUNTIF(FK9:FK13,"น"))</f>
        <v/>
      </c>
      <c r="FL14" s="553">
        <f>IF(FL$4&lt;&gt;1,"",COUNTIF(FL9:FL13,"น"))</f>
        <v/>
      </c>
      <c r="FM14" s="553">
        <f>IF(FM$4&lt;&gt;1,"",COUNTIF(FM9:FM13,"น"))</f>
        <v/>
      </c>
      <c r="FN14" s="553">
        <f>IF(FN$4&lt;&gt;1,"",COUNTIF(FN9:FN13,"น"))</f>
        <v/>
      </c>
      <c r="FO14" s="554">
        <f>SUM(FO9:FO13)</f>
        <v/>
      </c>
      <c r="FP14" s="555">
        <f>SUM(FP9:FP13)</f>
        <v/>
      </c>
      <c r="FQ14" s="556">
        <f>SUM(FQ9:FQ13)</f>
        <v/>
      </c>
    </row>
    <row r="15">
      <c r="A15" s="551" t="inlineStr">
        <is>
          <t>พักผ่อนไม่หลับ (คน)</t>
        </is>
      </c>
      <c r="B15" s="184" t="n"/>
      <c r="C15" s="184" t="n"/>
      <c r="D15" s="552">
        <f>IF(D$4&lt;&gt;1,"",COUNTIF(D9:D13,"พ"))</f>
        <v/>
      </c>
      <c r="E15" s="553">
        <f>IF(E$4&lt;&gt;1,"",COUNTIF(E9:E13,"พ"))</f>
        <v/>
      </c>
      <c r="F15" s="553">
        <f>IF(F$4&lt;&gt;1,"",COUNTIF(F9:F13,"พ"))</f>
        <v/>
      </c>
      <c r="G15" s="553">
        <f>IF(G$4&lt;&gt;1,"",COUNTIF(G9:G13,"พ"))</f>
        <v/>
      </c>
      <c r="H15" s="553">
        <f>IF(H$4&lt;&gt;1,"",COUNTIF(H9:H13,"พ"))</f>
        <v/>
      </c>
      <c r="I15" s="553">
        <f>IF(I$4&lt;&gt;1,"",COUNTIF(I9:I13,"พ"))</f>
        <v/>
      </c>
      <c r="J15" s="553">
        <f>IF(J$4&lt;&gt;1,"",COUNTIF(J9:J13,"พ"))</f>
        <v/>
      </c>
      <c r="K15" s="553">
        <f>IF(K$4&lt;&gt;1,"",COUNTIF(K9:K13,"พ"))</f>
        <v/>
      </c>
      <c r="L15" s="553">
        <f>IF(L$4&lt;&gt;1,"",COUNTIF(L9:L13,"พ"))</f>
        <v/>
      </c>
      <c r="M15" s="553">
        <f>IF(M$4&lt;&gt;1,"",COUNTIF(M9:M13,"พ"))</f>
        <v/>
      </c>
      <c r="N15" s="553">
        <f>IF(N$4&lt;&gt;1,"",COUNTIF(N9:N13,"พ"))</f>
        <v/>
      </c>
      <c r="O15" s="553">
        <f>IF(O$4&lt;&gt;1,"",COUNTIF(O9:O13,"พ"))</f>
        <v/>
      </c>
      <c r="P15" s="553">
        <f>IF(P$4&lt;&gt;1,"",COUNTIF(P9:P13,"พ"))</f>
        <v/>
      </c>
      <c r="Q15" s="553">
        <f>IF(Q$4&lt;&gt;1,"",COUNTIF(Q9:Q13,"พ"))</f>
        <v/>
      </c>
      <c r="R15" s="553">
        <f>IF(R$4&lt;&gt;1,"",COUNTIF(R9:R13,"พ"))</f>
        <v/>
      </c>
      <c r="S15" s="553">
        <f>IF(S$4&lt;&gt;1,"",COUNTIF(S9:S13,"พ"))</f>
        <v/>
      </c>
      <c r="T15" s="553">
        <f>IF(T$4&lt;&gt;1,"",COUNTIF(T9:T13,"พ"))</f>
        <v/>
      </c>
      <c r="U15" s="553">
        <f>IF(U$4&lt;&gt;1,"",COUNTIF(U9:U13,"พ"))</f>
        <v/>
      </c>
      <c r="V15" s="553">
        <f>IF(V$4&lt;&gt;1,"",COUNTIF(V9:V13,"พ"))</f>
        <v/>
      </c>
      <c r="W15" s="553">
        <f>IF(W$4&lt;&gt;1,"",COUNTIF(W9:W13,"พ"))</f>
        <v/>
      </c>
      <c r="X15" s="553">
        <f>IF(X$4&lt;&gt;1,"",COUNTIF(X9:X13,"พ"))</f>
        <v/>
      </c>
      <c r="Y15" s="553">
        <f>IF(Y$4&lt;&gt;1,"",COUNTIF(Y9:Y13,"พ"))</f>
        <v/>
      </c>
      <c r="Z15" s="553">
        <f>IF(Z$4&lt;&gt;1,"",COUNTIF(Z9:Z13,"พ"))</f>
        <v/>
      </c>
      <c r="AA15" s="553">
        <f>IF(AA$4&lt;&gt;1,"",COUNTIF(AA9:AA13,"พ"))</f>
        <v/>
      </c>
      <c r="AB15" s="553">
        <f>IF(AB$4&lt;&gt;1,"",COUNTIF(AB9:AB13,"พ"))</f>
        <v/>
      </c>
      <c r="AC15" s="553">
        <f>IF(AC$4&lt;&gt;1,"",COUNTIF(AC9:AC13,"พ"))</f>
        <v/>
      </c>
      <c r="AD15" s="553">
        <f>IF(AD$4&lt;&gt;1,"",COUNTIF(AD9:AD13,"พ"))</f>
        <v/>
      </c>
      <c r="AE15" s="553">
        <f>IF(AE$4&lt;&gt;1,"",COUNTIF(AE9:AE13,"พ"))</f>
        <v/>
      </c>
      <c r="AF15" s="553">
        <f>IF(AF$4&lt;&gt;1,"",COUNTIF(AF9:AF13,"พ"))</f>
        <v/>
      </c>
      <c r="AG15" s="553">
        <f>IF(AG$4&lt;&gt;1,"",COUNTIF(AG9:AG13,"พ"))</f>
        <v/>
      </c>
      <c r="AH15" s="553">
        <f>IF(AH$4&lt;&gt;1,"",COUNTIF(AH9:AH13,"พ"))</f>
        <v/>
      </c>
      <c r="AI15" s="554" t="n"/>
      <c r="AJ15" s="555" t="n"/>
      <c r="AK15" s="556" t="n"/>
      <c r="AL15" s="552">
        <f>IF(AL$4&lt;&gt;1,"",COUNTIF(AL9:AL13,"พ"))</f>
        <v/>
      </c>
      <c r="AM15" s="553">
        <f>IF(AM$4&lt;&gt;1,"",COUNTIF(AM9:AM13,"พ"))</f>
        <v/>
      </c>
      <c r="AN15" s="553">
        <f>IF(AN$4&lt;&gt;1,"",COUNTIF(AN9:AN13,"พ"))</f>
        <v/>
      </c>
      <c r="AO15" s="553">
        <f>IF(AO$4&lt;&gt;1,"",COUNTIF(AO9:AO13,"พ"))</f>
        <v/>
      </c>
      <c r="AP15" s="553">
        <f>IF(AP$4&lt;&gt;1,"",COUNTIF(AP9:AP13,"พ"))</f>
        <v/>
      </c>
      <c r="AQ15" s="553">
        <f>IF(AQ$4&lt;&gt;1,"",COUNTIF(AQ9:AQ13,"พ"))</f>
        <v/>
      </c>
      <c r="AR15" s="553">
        <f>IF(AR$4&lt;&gt;1,"",COUNTIF(AR9:AR13,"พ"))</f>
        <v/>
      </c>
      <c r="AS15" s="553">
        <f>IF(AS$4&lt;&gt;1,"",COUNTIF(AS9:AS13,"พ"))</f>
        <v/>
      </c>
      <c r="AT15" s="553">
        <f>IF(AT$4&lt;&gt;1,"",COUNTIF(AT9:AT13,"พ"))</f>
        <v/>
      </c>
      <c r="AU15" s="553">
        <f>IF(AU$4&lt;&gt;1,"",COUNTIF(AU9:AU13,"พ"))</f>
        <v/>
      </c>
      <c r="AV15" s="553">
        <f>IF(AV$4&lt;&gt;1,"",COUNTIF(AV9:AV13,"พ"))</f>
        <v/>
      </c>
      <c r="AW15" s="553">
        <f>IF(AW$4&lt;&gt;1,"",COUNTIF(AW9:AW13,"พ"))</f>
        <v/>
      </c>
      <c r="AX15" s="553">
        <f>IF(AX$4&lt;&gt;1,"",COUNTIF(AX9:AX13,"พ"))</f>
        <v/>
      </c>
      <c r="AY15" s="553">
        <f>IF(AY$4&lt;&gt;1,"",COUNTIF(AY9:AY13,"พ"))</f>
        <v/>
      </c>
      <c r="AZ15" s="553">
        <f>IF(AZ$4&lt;&gt;1,"",COUNTIF(AZ9:AZ13,"พ"))</f>
        <v/>
      </c>
      <c r="BA15" s="553">
        <f>IF(BA$4&lt;&gt;1,"",COUNTIF(BA9:BA13,"พ"))</f>
        <v/>
      </c>
      <c r="BB15" s="553">
        <f>IF(BB$4&lt;&gt;1,"",COUNTIF(BB9:BB13,"พ"))</f>
        <v/>
      </c>
      <c r="BC15" s="553">
        <f>IF(BC$4&lt;&gt;1,"",COUNTIF(BC9:BC13,"พ"))</f>
        <v/>
      </c>
      <c r="BD15" s="553">
        <f>IF(BD$4&lt;&gt;1,"",COUNTIF(BD9:BD13,"พ"))</f>
        <v/>
      </c>
      <c r="BE15" s="553">
        <f>IF(BE$4&lt;&gt;1,"",COUNTIF(BE9:BE13,"พ"))</f>
        <v/>
      </c>
      <c r="BF15" s="553">
        <f>IF(BF$4&lt;&gt;1,"",COUNTIF(BF9:BF13,"พ"))</f>
        <v/>
      </c>
      <c r="BG15" s="553">
        <f>IF(BG$4&lt;&gt;1,"",COUNTIF(BG9:BG13,"พ"))</f>
        <v/>
      </c>
      <c r="BH15" s="553">
        <f>IF(BH$4&lt;&gt;1,"",COUNTIF(BH9:BH13,"พ"))</f>
        <v/>
      </c>
      <c r="BI15" s="553">
        <f>IF(BI$4&lt;&gt;1,"",COUNTIF(BI9:BI13,"พ"))</f>
        <v/>
      </c>
      <c r="BJ15" s="553">
        <f>IF(BJ$4&lt;&gt;1,"",COUNTIF(BJ9:BJ13,"พ"))</f>
        <v/>
      </c>
      <c r="BK15" s="553">
        <f>IF(BK$4&lt;&gt;1,"",COUNTIF(BK9:BK13,"พ"))</f>
        <v/>
      </c>
      <c r="BL15" s="553">
        <f>IF(BL$4&lt;&gt;1,"",COUNTIF(BL9:BL13,"พ"))</f>
        <v/>
      </c>
      <c r="BM15" s="553">
        <f>IF(BM$4&lt;&gt;1,"",COUNTIF(BM9:BM13,"พ"))</f>
        <v/>
      </c>
      <c r="BN15" s="553">
        <f>IF(BN$4&lt;&gt;1,"",COUNTIF(BN9:BN13,"พ"))</f>
        <v/>
      </c>
      <c r="BO15" s="553">
        <f>IF(BO$4&lt;&gt;1,"",COUNTIF(BO9:BO13,"พ"))</f>
        <v/>
      </c>
      <c r="BP15" s="553">
        <f>IF(BP$4&lt;&gt;1,"",COUNTIF(BP9:BP13,"พ"))</f>
        <v/>
      </c>
      <c r="BQ15" s="554" t="n"/>
      <c r="BR15" s="555" t="n"/>
      <c r="BS15" s="556" t="n"/>
      <c r="BT15" s="552">
        <f>IF(BT$4&lt;&gt;1,"",COUNTIF(BT9:BT13,"พ"))</f>
        <v/>
      </c>
      <c r="BU15" s="553">
        <f>IF(BU$4&lt;&gt;1,"",COUNTIF(BU9:BU13,"พ"))</f>
        <v/>
      </c>
      <c r="BV15" s="553">
        <f>IF(BV$4&lt;&gt;1,"",COUNTIF(BV9:BV13,"พ"))</f>
        <v/>
      </c>
      <c r="BW15" s="553">
        <f>IF(BW$4&lt;&gt;1,"",COUNTIF(BW9:BW13,"พ"))</f>
        <v/>
      </c>
      <c r="BX15" s="553">
        <f>IF(BX$4&lt;&gt;1,"",COUNTIF(BX9:BX13,"พ"))</f>
        <v/>
      </c>
      <c r="BY15" s="553">
        <f>IF(BY$4&lt;&gt;1,"",COUNTIF(BY9:BY13,"พ"))</f>
        <v/>
      </c>
      <c r="BZ15" s="553">
        <f>IF(BZ$4&lt;&gt;1,"",COUNTIF(BZ9:BZ13,"พ"))</f>
        <v/>
      </c>
      <c r="CA15" s="553">
        <f>IF(CA$4&lt;&gt;1,"",COUNTIF(CA9:CA13,"พ"))</f>
        <v/>
      </c>
      <c r="CB15" s="553">
        <f>IF(CB$4&lt;&gt;1,"",COUNTIF(CB9:CB13,"พ"))</f>
        <v/>
      </c>
      <c r="CC15" s="553">
        <f>IF(CC$4&lt;&gt;1,"",COUNTIF(CC9:CC13,"พ"))</f>
        <v/>
      </c>
      <c r="CD15" s="553">
        <f>IF(CD$4&lt;&gt;1,"",COUNTIF(CD9:CD13,"พ"))</f>
        <v/>
      </c>
      <c r="CE15" s="553">
        <f>IF(CE$4&lt;&gt;1,"",COUNTIF(CE9:CE13,"พ"))</f>
        <v/>
      </c>
      <c r="CF15" s="553">
        <f>IF(CF$4&lt;&gt;1,"",COUNTIF(CF9:CF13,"พ"))</f>
        <v/>
      </c>
      <c r="CG15" s="553">
        <f>IF(CG$4&lt;&gt;1,"",COUNTIF(CG9:CG13,"พ"))</f>
        <v/>
      </c>
      <c r="CH15" s="553">
        <f>IF(CH$4&lt;&gt;1,"",COUNTIF(CH9:CH13,"พ"))</f>
        <v/>
      </c>
      <c r="CI15" s="553">
        <f>IF(CI$4&lt;&gt;1,"",COUNTIF(CI9:CI13,"พ"))</f>
        <v/>
      </c>
      <c r="CJ15" s="553">
        <f>IF(CJ$4&lt;&gt;1,"",COUNTIF(CJ9:CJ13,"พ"))</f>
        <v/>
      </c>
      <c r="CK15" s="553">
        <f>IF(CK$4&lt;&gt;1,"",COUNTIF(CK9:CK13,"พ"))</f>
        <v/>
      </c>
      <c r="CL15" s="553">
        <f>IF(CL$4&lt;&gt;1,"",COUNTIF(CL9:CL13,"พ"))</f>
        <v/>
      </c>
      <c r="CM15" s="553">
        <f>IF(CM$4&lt;&gt;1,"",COUNTIF(CM9:CM13,"พ"))</f>
        <v/>
      </c>
      <c r="CN15" s="553">
        <f>IF(CN$4&lt;&gt;1,"",COUNTIF(CN9:CN13,"พ"))</f>
        <v/>
      </c>
      <c r="CO15" s="553">
        <f>IF(CO$4&lt;&gt;1,"",COUNTIF(CO9:CO13,"พ"))</f>
        <v/>
      </c>
      <c r="CP15" s="553">
        <f>IF(CP$4&lt;&gt;1,"",COUNTIF(CP9:CP13,"พ"))</f>
        <v/>
      </c>
      <c r="CQ15" s="553">
        <f>IF(CQ$4&lt;&gt;1,"",COUNTIF(CQ9:CQ13,"พ"))</f>
        <v/>
      </c>
      <c r="CR15" s="553">
        <f>IF(CR$4&lt;&gt;1,"",COUNTIF(CR9:CR13,"พ"))</f>
        <v/>
      </c>
      <c r="CS15" s="553">
        <f>IF(CS$4&lt;&gt;1,"",COUNTIF(CS9:CS13,"พ"))</f>
        <v/>
      </c>
      <c r="CT15" s="553">
        <f>IF(CT$4&lt;&gt;1,"",COUNTIF(CT9:CT13,"พ"))</f>
        <v/>
      </c>
      <c r="CU15" s="553">
        <f>IF(CU$4&lt;&gt;1,"",COUNTIF(CU9:CU13,"พ"))</f>
        <v/>
      </c>
      <c r="CV15" s="553">
        <f>IF(CV$4&lt;&gt;1,"",COUNTIF(CV9:CV13,"พ"))</f>
        <v/>
      </c>
      <c r="CW15" s="553">
        <f>IF(CW$4&lt;&gt;1,"",COUNTIF(CW9:CW13,"พ"))</f>
        <v/>
      </c>
      <c r="CX15" s="553">
        <f>IF(CX$4&lt;&gt;1,"",COUNTIF(CX9:CX13,"พ"))</f>
        <v/>
      </c>
      <c r="CY15" s="554" t="n"/>
      <c r="CZ15" s="555" t="n"/>
      <c r="DA15" s="556" t="n"/>
      <c r="DB15" s="552">
        <f>IF(DB$4&lt;&gt;1,"",COUNTIF(DB9:DB13,"พ"))</f>
        <v/>
      </c>
      <c r="DC15" s="553">
        <f>IF(DC$4&lt;&gt;1,"",COUNTIF(DC9:DC13,"พ"))</f>
        <v/>
      </c>
      <c r="DD15" s="553">
        <f>IF(DD$4&lt;&gt;1,"",COUNTIF(DD9:DD13,"พ"))</f>
        <v/>
      </c>
      <c r="DE15" s="553">
        <f>IF(DE$4&lt;&gt;1,"",COUNTIF(DE9:DE13,"พ"))</f>
        <v/>
      </c>
      <c r="DF15" s="553">
        <f>IF(DF$4&lt;&gt;1,"",COUNTIF(DF9:DF13,"พ"))</f>
        <v/>
      </c>
      <c r="DG15" s="553">
        <f>IF(DG$4&lt;&gt;1,"",COUNTIF(DG9:DG13,"พ"))</f>
        <v/>
      </c>
      <c r="DH15" s="553">
        <f>IF(DH$4&lt;&gt;1,"",COUNTIF(DH9:DH13,"พ"))</f>
        <v/>
      </c>
      <c r="DI15" s="553">
        <f>IF(DI$4&lt;&gt;1,"",COUNTIF(DI9:DI13,"พ"))</f>
        <v/>
      </c>
      <c r="DJ15" s="553">
        <f>IF(DJ$4&lt;&gt;1,"",COUNTIF(DJ9:DJ13,"พ"))</f>
        <v/>
      </c>
      <c r="DK15" s="553">
        <f>IF(DK$4&lt;&gt;1,"",COUNTIF(DK9:DK13,"พ"))</f>
        <v/>
      </c>
      <c r="DL15" s="553">
        <f>IF(DL$4&lt;&gt;1,"",COUNTIF(DL9:DL13,"พ"))</f>
        <v/>
      </c>
      <c r="DM15" s="553">
        <f>IF(DM$4&lt;&gt;1,"",COUNTIF(DM9:DM13,"พ"))</f>
        <v/>
      </c>
      <c r="DN15" s="553">
        <f>IF(DN$4&lt;&gt;1,"",COUNTIF(DN9:DN13,"พ"))</f>
        <v/>
      </c>
      <c r="DO15" s="553">
        <f>IF(DO$4&lt;&gt;1,"",COUNTIF(DO9:DO13,"พ"))</f>
        <v/>
      </c>
      <c r="DP15" s="553">
        <f>IF(DP$4&lt;&gt;1,"",COUNTIF(DP9:DP13,"พ"))</f>
        <v/>
      </c>
      <c r="DQ15" s="553">
        <f>IF(DQ$4&lt;&gt;1,"",COUNTIF(DQ9:DQ13,"พ"))</f>
        <v/>
      </c>
      <c r="DR15" s="553">
        <f>IF(DR$4&lt;&gt;1,"",COUNTIF(DR9:DR13,"พ"))</f>
        <v/>
      </c>
      <c r="DS15" s="553">
        <f>IF(DS$4&lt;&gt;1,"",COUNTIF(DS9:DS13,"พ"))</f>
        <v/>
      </c>
      <c r="DT15" s="553">
        <f>IF(DT$4&lt;&gt;1,"",COUNTIF(DT9:DT13,"พ"))</f>
        <v/>
      </c>
      <c r="DU15" s="553">
        <f>IF(DU$4&lt;&gt;1,"",COUNTIF(DU9:DU13,"พ"))</f>
        <v/>
      </c>
      <c r="DV15" s="553">
        <f>IF(DV$4&lt;&gt;1,"",COUNTIF(DV9:DV13,"พ"))</f>
        <v/>
      </c>
      <c r="DW15" s="553">
        <f>IF(DW$4&lt;&gt;1,"",COUNTIF(DW9:DW13,"พ"))</f>
        <v/>
      </c>
      <c r="DX15" s="553">
        <f>IF(DX$4&lt;&gt;1,"",COUNTIF(DX9:DX13,"พ"))</f>
        <v/>
      </c>
      <c r="DY15" s="553">
        <f>IF(DY$4&lt;&gt;1,"",COUNTIF(DY9:DY13,"พ"))</f>
        <v/>
      </c>
      <c r="DZ15" s="553">
        <f>IF(DZ$4&lt;&gt;1,"",COUNTIF(DZ9:DZ13,"พ"))</f>
        <v/>
      </c>
      <c r="EA15" s="553">
        <f>IF(EA$4&lt;&gt;1,"",COUNTIF(EA9:EA13,"พ"))</f>
        <v/>
      </c>
      <c r="EB15" s="553">
        <f>IF(EB$4&lt;&gt;1,"",COUNTIF(EB9:EB13,"พ"))</f>
        <v/>
      </c>
      <c r="EC15" s="553">
        <f>IF(EC$4&lt;&gt;1,"",COUNTIF(EC9:EC13,"พ"))</f>
        <v/>
      </c>
      <c r="ED15" s="553">
        <f>IF(ED$4&lt;&gt;1,"",COUNTIF(ED9:ED13,"พ"))</f>
        <v/>
      </c>
      <c r="EE15" s="553">
        <f>IF(EE$4&lt;&gt;1,"",COUNTIF(EE9:EE13,"พ"))</f>
        <v/>
      </c>
      <c r="EF15" s="553">
        <f>IF(EF$4&lt;&gt;1,"",COUNTIF(EF9:EF13,"พ"))</f>
        <v/>
      </c>
      <c r="EG15" s="554" t="n"/>
      <c r="EH15" s="555" t="n"/>
      <c r="EI15" s="556" t="n"/>
      <c r="EJ15" s="552">
        <f>IF(EJ$4&lt;&gt;1,"",COUNTIF(EJ9:EJ13,"พ"))</f>
        <v/>
      </c>
      <c r="EK15" s="553">
        <f>IF(EK$4&lt;&gt;1,"",COUNTIF(EK9:EK13,"พ"))</f>
        <v/>
      </c>
      <c r="EL15" s="553">
        <f>IF(EL$4&lt;&gt;1,"",COUNTIF(EL9:EL13,"พ"))</f>
        <v/>
      </c>
      <c r="EM15" s="553">
        <f>IF(EM$4&lt;&gt;1,"",COUNTIF(EM9:EM13,"พ"))</f>
        <v/>
      </c>
      <c r="EN15" s="553">
        <f>IF(EN$4&lt;&gt;1,"",COUNTIF(EN9:EN13,"พ"))</f>
        <v/>
      </c>
      <c r="EO15" s="553">
        <f>IF(EO$4&lt;&gt;1,"",COUNTIF(EO9:EO13,"พ"))</f>
        <v/>
      </c>
      <c r="EP15" s="553">
        <f>IF(EP$4&lt;&gt;1,"",COUNTIF(EP9:EP13,"พ"))</f>
        <v/>
      </c>
      <c r="EQ15" s="553">
        <f>IF(EQ$4&lt;&gt;1,"",COUNTIF(EQ9:EQ13,"พ"))</f>
        <v/>
      </c>
      <c r="ER15" s="553">
        <f>IF(ER$4&lt;&gt;1,"",COUNTIF(ER9:ER13,"พ"))</f>
        <v/>
      </c>
      <c r="ES15" s="553">
        <f>IF(ES$4&lt;&gt;1,"",COUNTIF(ES9:ES13,"พ"))</f>
        <v/>
      </c>
      <c r="ET15" s="553">
        <f>IF(ET$4&lt;&gt;1,"",COUNTIF(ET9:ET13,"พ"))</f>
        <v/>
      </c>
      <c r="EU15" s="553">
        <f>IF(EU$4&lt;&gt;1,"",COUNTIF(EU9:EU13,"พ"))</f>
        <v/>
      </c>
      <c r="EV15" s="553">
        <f>IF(EV$4&lt;&gt;1,"",COUNTIF(EV9:EV13,"พ"))</f>
        <v/>
      </c>
      <c r="EW15" s="553">
        <f>IF(EW$4&lt;&gt;1,"",COUNTIF(EW9:EW13,"พ"))</f>
        <v/>
      </c>
      <c r="EX15" s="553">
        <f>IF(EX$4&lt;&gt;1,"",COUNTIF(EX9:EX13,"พ"))</f>
        <v/>
      </c>
      <c r="EY15" s="553">
        <f>IF(EY$4&lt;&gt;1,"",COUNTIF(EY9:EY13,"พ"))</f>
        <v/>
      </c>
      <c r="EZ15" s="553">
        <f>IF(EZ$4&lt;&gt;1,"",COUNTIF(EZ9:EZ13,"พ"))</f>
        <v/>
      </c>
      <c r="FA15" s="553">
        <f>IF(FA$4&lt;&gt;1,"",COUNTIF(FA9:FA13,"พ"))</f>
        <v/>
      </c>
      <c r="FB15" s="553">
        <f>IF(FB$4&lt;&gt;1,"",COUNTIF(FB9:FB13,"พ"))</f>
        <v/>
      </c>
      <c r="FC15" s="553">
        <f>IF(FC$4&lt;&gt;1,"",COUNTIF(FC9:FC13,"พ"))</f>
        <v/>
      </c>
      <c r="FD15" s="553">
        <f>IF(FD$4&lt;&gt;1,"",COUNTIF(FD9:FD13,"พ"))</f>
        <v/>
      </c>
      <c r="FE15" s="553">
        <f>IF(FE$4&lt;&gt;1,"",COUNTIF(FE9:FE13,"พ"))</f>
        <v/>
      </c>
      <c r="FF15" s="553">
        <f>IF(FF$4&lt;&gt;1,"",COUNTIF(FF9:FF13,"พ"))</f>
        <v/>
      </c>
      <c r="FG15" s="553">
        <f>IF(FG$4&lt;&gt;1,"",COUNTIF(FG9:FG13,"พ"))</f>
        <v/>
      </c>
      <c r="FH15" s="553">
        <f>IF(FH$4&lt;&gt;1,"",COUNTIF(FH9:FH13,"พ"))</f>
        <v/>
      </c>
      <c r="FI15" s="553">
        <f>IF(FI$4&lt;&gt;1,"",COUNTIF(FI9:FI13,"พ"))</f>
        <v/>
      </c>
      <c r="FJ15" s="553">
        <f>IF(FJ$4&lt;&gt;1,"",COUNTIF(FJ9:FJ13,"พ"))</f>
        <v/>
      </c>
      <c r="FK15" s="553">
        <f>IF(FK$4&lt;&gt;1,"",COUNTIF(FK9:FK13,"พ"))</f>
        <v/>
      </c>
      <c r="FL15" s="553">
        <f>IF(FL$4&lt;&gt;1,"",COUNTIF(FL9:FL13,"พ"))</f>
        <v/>
      </c>
      <c r="FM15" s="553">
        <f>IF(FM$4&lt;&gt;1,"",COUNTIF(FM9:FM13,"พ"))</f>
        <v/>
      </c>
      <c r="FN15" s="553">
        <f>IF(FN$4&lt;&gt;1,"",COUNTIF(FN9:FN13,"พ"))</f>
        <v/>
      </c>
      <c r="FO15" s="554" t="n"/>
      <c r="FP15" s="555" t="n"/>
      <c r="FQ15" s="556" t="n"/>
    </row>
    <row r="16">
      <c r="A16" s="551" t="inlineStr">
        <is>
          <t>ไม่นอน (คน)</t>
        </is>
      </c>
      <c r="B16" s="184" t="n"/>
      <c r="C16" s="184" t="n"/>
      <c r="D16" s="552">
        <f>IF(D$4&lt;&gt;1,"",COUNTIF(D9:D13,"ง"))</f>
        <v/>
      </c>
      <c r="E16" s="553">
        <f>IF(E$4&lt;&gt;1,"",COUNTIF(E9:E13,"ง"))</f>
        <v/>
      </c>
      <c r="F16" s="553">
        <f>IF(F$4&lt;&gt;1,"",COUNTIF(F9:F13,"ง"))</f>
        <v/>
      </c>
      <c r="G16" s="553">
        <f>IF(G$4&lt;&gt;1,"",COUNTIF(G9:G13,"ง"))</f>
        <v/>
      </c>
      <c r="H16" s="553">
        <f>IF(H$4&lt;&gt;1,"",COUNTIF(H9:H13,"ง"))</f>
        <v/>
      </c>
      <c r="I16" s="553">
        <f>IF(I$4&lt;&gt;1,"",COUNTIF(I9:I13,"ง"))</f>
        <v/>
      </c>
      <c r="J16" s="553">
        <f>IF(J$4&lt;&gt;1,"",COUNTIF(J9:J13,"ง"))</f>
        <v/>
      </c>
      <c r="K16" s="553">
        <f>IF(K$4&lt;&gt;1,"",COUNTIF(K9:K13,"ง"))</f>
        <v/>
      </c>
      <c r="L16" s="553">
        <f>IF(L$4&lt;&gt;1,"",COUNTIF(L9:L13,"ง"))</f>
        <v/>
      </c>
      <c r="M16" s="553">
        <f>IF(M$4&lt;&gt;1,"",COUNTIF(M9:M13,"ง"))</f>
        <v/>
      </c>
      <c r="N16" s="553">
        <f>IF(N$4&lt;&gt;1,"",COUNTIF(N9:N13,"ง"))</f>
        <v/>
      </c>
      <c r="O16" s="553">
        <f>IF(O$4&lt;&gt;1,"",COUNTIF(O9:O13,"ง"))</f>
        <v/>
      </c>
      <c r="P16" s="553">
        <f>IF(P$4&lt;&gt;1,"",COUNTIF(P9:P13,"ง"))</f>
        <v/>
      </c>
      <c r="Q16" s="553">
        <f>IF(Q$4&lt;&gt;1,"",COUNTIF(Q9:Q13,"ง"))</f>
        <v/>
      </c>
      <c r="R16" s="553">
        <f>IF(R$4&lt;&gt;1,"",COUNTIF(R9:R13,"ง"))</f>
        <v/>
      </c>
      <c r="S16" s="553">
        <f>IF(S$4&lt;&gt;1,"",COUNTIF(S9:S13,"ง"))</f>
        <v/>
      </c>
      <c r="T16" s="553">
        <f>IF(T$4&lt;&gt;1,"",COUNTIF(T9:T13,"ง"))</f>
        <v/>
      </c>
      <c r="U16" s="553">
        <f>IF(U$4&lt;&gt;1,"",COUNTIF(U9:U13,"ง"))</f>
        <v/>
      </c>
      <c r="V16" s="553">
        <f>IF(V$4&lt;&gt;1,"",COUNTIF(V9:V13,"ง"))</f>
        <v/>
      </c>
      <c r="W16" s="553">
        <f>IF(W$4&lt;&gt;1,"",COUNTIF(W9:W13,"ง"))</f>
        <v/>
      </c>
      <c r="X16" s="553">
        <f>IF(X$4&lt;&gt;1,"",COUNTIF(X9:X13,"ง"))</f>
        <v/>
      </c>
      <c r="Y16" s="553">
        <f>IF(Y$4&lt;&gt;1,"",COUNTIF(Y9:Y13,"ง"))</f>
        <v/>
      </c>
      <c r="Z16" s="553">
        <f>IF(Z$4&lt;&gt;1,"",COUNTIF(Z9:Z13,"ง"))</f>
        <v/>
      </c>
      <c r="AA16" s="553">
        <f>IF(AA$4&lt;&gt;1,"",COUNTIF(AA9:AA13,"ง"))</f>
        <v/>
      </c>
      <c r="AB16" s="553">
        <f>IF(AB$4&lt;&gt;1,"",COUNTIF(AB9:AB13,"ง"))</f>
        <v/>
      </c>
      <c r="AC16" s="553">
        <f>IF(AC$4&lt;&gt;1,"",COUNTIF(AC9:AC13,"ง"))</f>
        <v/>
      </c>
      <c r="AD16" s="553">
        <f>IF(AD$4&lt;&gt;1,"",COUNTIF(AD9:AD13,"ง"))</f>
        <v/>
      </c>
      <c r="AE16" s="553">
        <f>IF(AE$4&lt;&gt;1,"",COUNTIF(AE9:AE13,"ง"))</f>
        <v/>
      </c>
      <c r="AF16" s="553">
        <f>IF(AF$4&lt;&gt;1,"",COUNTIF(AF9:AF13,"ง"))</f>
        <v/>
      </c>
      <c r="AG16" s="553">
        <f>IF(AG$4&lt;&gt;1,"",COUNTIF(AG9:AG13,"ง"))</f>
        <v/>
      </c>
      <c r="AH16" s="553">
        <f>IF(AH$4&lt;&gt;1,"",COUNTIF(AH9:AH13,"ง"))</f>
        <v/>
      </c>
      <c r="AI16" s="554" t="n"/>
      <c r="AJ16" s="555" t="n"/>
      <c r="AK16" s="556" t="n"/>
      <c r="AL16" s="552">
        <f>IF(AL$4&lt;&gt;1,"",COUNTIF(AL9:AL13,"ง"))</f>
        <v/>
      </c>
      <c r="AM16" s="553">
        <f>IF(AM$4&lt;&gt;1,"",COUNTIF(AM9:AM13,"ง"))</f>
        <v/>
      </c>
      <c r="AN16" s="553">
        <f>IF(AN$4&lt;&gt;1,"",COUNTIF(AN9:AN13,"ง"))</f>
        <v/>
      </c>
      <c r="AO16" s="553">
        <f>IF(AO$4&lt;&gt;1,"",COUNTIF(AO9:AO13,"ง"))</f>
        <v/>
      </c>
      <c r="AP16" s="553">
        <f>IF(AP$4&lt;&gt;1,"",COUNTIF(AP9:AP13,"ง"))</f>
        <v/>
      </c>
      <c r="AQ16" s="553">
        <f>IF(AQ$4&lt;&gt;1,"",COUNTIF(AQ9:AQ13,"ง"))</f>
        <v/>
      </c>
      <c r="AR16" s="553">
        <f>IF(AR$4&lt;&gt;1,"",COUNTIF(AR9:AR13,"ง"))</f>
        <v/>
      </c>
      <c r="AS16" s="553">
        <f>IF(AS$4&lt;&gt;1,"",COUNTIF(AS9:AS13,"ง"))</f>
        <v/>
      </c>
      <c r="AT16" s="553">
        <f>IF(AT$4&lt;&gt;1,"",COUNTIF(AT9:AT13,"ง"))</f>
        <v/>
      </c>
      <c r="AU16" s="553">
        <f>IF(AU$4&lt;&gt;1,"",COUNTIF(AU9:AU13,"ง"))</f>
        <v/>
      </c>
      <c r="AV16" s="553">
        <f>IF(AV$4&lt;&gt;1,"",COUNTIF(AV9:AV13,"ง"))</f>
        <v/>
      </c>
      <c r="AW16" s="553">
        <f>IF(AW$4&lt;&gt;1,"",COUNTIF(AW9:AW13,"ง"))</f>
        <v/>
      </c>
      <c r="AX16" s="553">
        <f>IF(AX$4&lt;&gt;1,"",COUNTIF(AX9:AX13,"ง"))</f>
        <v/>
      </c>
      <c r="AY16" s="553">
        <f>IF(AY$4&lt;&gt;1,"",COUNTIF(AY9:AY13,"ง"))</f>
        <v/>
      </c>
      <c r="AZ16" s="553">
        <f>IF(AZ$4&lt;&gt;1,"",COUNTIF(AZ9:AZ13,"ง"))</f>
        <v/>
      </c>
      <c r="BA16" s="553">
        <f>IF(BA$4&lt;&gt;1,"",COUNTIF(BA9:BA13,"ง"))</f>
        <v/>
      </c>
      <c r="BB16" s="553">
        <f>IF(BB$4&lt;&gt;1,"",COUNTIF(BB9:BB13,"ง"))</f>
        <v/>
      </c>
      <c r="BC16" s="553">
        <f>IF(BC$4&lt;&gt;1,"",COUNTIF(BC9:BC13,"ง"))</f>
        <v/>
      </c>
      <c r="BD16" s="553">
        <f>IF(BD$4&lt;&gt;1,"",COUNTIF(BD9:BD13,"ง"))</f>
        <v/>
      </c>
      <c r="BE16" s="553">
        <f>IF(BE$4&lt;&gt;1,"",COUNTIF(BE9:BE13,"ง"))</f>
        <v/>
      </c>
      <c r="BF16" s="553">
        <f>IF(BF$4&lt;&gt;1,"",COUNTIF(BF9:BF13,"ง"))</f>
        <v/>
      </c>
      <c r="BG16" s="553">
        <f>IF(BG$4&lt;&gt;1,"",COUNTIF(BG9:BG13,"ง"))</f>
        <v/>
      </c>
      <c r="BH16" s="553">
        <f>IF(BH$4&lt;&gt;1,"",COUNTIF(BH9:BH13,"ง"))</f>
        <v/>
      </c>
      <c r="BI16" s="553">
        <f>IF(BI$4&lt;&gt;1,"",COUNTIF(BI9:BI13,"ง"))</f>
        <v/>
      </c>
      <c r="BJ16" s="553">
        <f>IF(BJ$4&lt;&gt;1,"",COUNTIF(BJ9:BJ13,"ง"))</f>
        <v/>
      </c>
      <c r="BK16" s="553">
        <f>IF(BK$4&lt;&gt;1,"",COUNTIF(BK9:BK13,"ง"))</f>
        <v/>
      </c>
      <c r="BL16" s="553">
        <f>IF(BL$4&lt;&gt;1,"",COUNTIF(BL9:BL13,"ง"))</f>
        <v/>
      </c>
      <c r="BM16" s="553">
        <f>IF(BM$4&lt;&gt;1,"",COUNTIF(BM9:BM13,"ง"))</f>
        <v/>
      </c>
      <c r="BN16" s="553">
        <f>IF(BN$4&lt;&gt;1,"",COUNTIF(BN9:BN13,"ง"))</f>
        <v/>
      </c>
      <c r="BO16" s="553">
        <f>IF(BO$4&lt;&gt;1,"",COUNTIF(BO9:BO13,"ง"))</f>
        <v/>
      </c>
      <c r="BP16" s="553">
        <f>IF(BP$4&lt;&gt;1,"",COUNTIF(BP9:BP13,"ง"))</f>
        <v/>
      </c>
      <c r="BQ16" s="554" t="n"/>
      <c r="BR16" s="555" t="n"/>
      <c r="BS16" s="556" t="n"/>
      <c r="BT16" s="552">
        <f>IF(BT$4&lt;&gt;1,"",COUNTIF(BT9:BT13,"ง"))</f>
        <v/>
      </c>
      <c r="BU16" s="553">
        <f>IF(BU$4&lt;&gt;1,"",COUNTIF(BU9:BU13,"ง"))</f>
        <v/>
      </c>
      <c r="BV16" s="553">
        <f>IF(BV$4&lt;&gt;1,"",COUNTIF(BV9:BV13,"ง"))</f>
        <v/>
      </c>
      <c r="BW16" s="553">
        <f>IF(BW$4&lt;&gt;1,"",COUNTIF(BW9:BW13,"ง"))</f>
        <v/>
      </c>
      <c r="BX16" s="553">
        <f>IF(BX$4&lt;&gt;1,"",COUNTIF(BX9:BX13,"ง"))</f>
        <v/>
      </c>
      <c r="BY16" s="553">
        <f>IF(BY$4&lt;&gt;1,"",COUNTIF(BY9:BY13,"ง"))</f>
        <v/>
      </c>
      <c r="BZ16" s="553">
        <f>IF(BZ$4&lt;&gt;1,"",COUNTIF(BZ9:BZ13,"ง"))</f>
        <v/>
      </c>
      <c r="CA16" s="553">
        <f>IF(CA$4&lt;&gt;1,"",COUNTIF(CA9:CA13,"ง"))</f>
        <v/>
      </c>
      <c r="CB16" s="553">
        <f>IF(CB$4&lt;&gt;1,"",COUNTIF(CB9:CB13,"ง"))</f>
        <v/>
      </c>
      <c r="CC16" s="553">
        <f>IF(CC$4&lt;&gt;1,"",COUNTIF(CC9:CC13,"ง"))</f>
        <v/>
      </c>
      <c r="CD16" s="553">
        <f>IF(CD$4&lt;&gt;1,"",COUNTIF(CD9:CD13,"ง"))</f>
        <v/>
      </c>
      <c r="CE16" s="553">
        <f>IF(CE$4&lt;&gt;1,"",COUNTIF(CE9:CE13,"ง"))</f>
        <v/>
      </c>
      <c r="CF16" s="553">
        <f>IF(CF$4&lt;&gt;1,"",COUNTIF(CF9:CF13,"ง"))</f>
        <v/>
      </c>
      <c r="CG16" s="553">
        <f>IF(CG$4&lt;&gt;1,"",COUNTIF(CG9:CG13,"ง"))</f>
        <v/>
      </c>
      <c r="CH16" s="553">
        <f>IF(CH$4&lt;&gt;1,"",COUNTIF(CH9:CH13,"ง"))</f>
        <v/>
      </c>
      <c r="CI16" s="553">
        <f>IF(CI$4&lt;&gt;1,"",COUNTIF(CI9:CI13,"ง"))</f>
        <v/>
      </c>
      <c r="CJ16" s="553">
        <f>IF(CJ$4&lt;&gt;1,"",COUNTIF(CJ9:CJ13,"ง"))</f>
        <v/>
      </c>
      <c r="CK16" s="553">
        <f>IF(CK$4&lt;&gt;1,"",COUNTIF(CK9:CK13,"ง"))</f>
        <v/>
      </c>
      <c r="CL16" s="553">
        <f>IF(CL$4&lt;&gt;1,"",COUNTIF(CL9:CL13,"ง"))</f>
        <v/>
      </c>
      <c r="CM16" s="553">
        <f>IF(CM$4&lt;&gt;1,"",COUNTIF(CM9:CM13,"ง"))</f>
        <v/>
      </c>
      <c r="CN16" s="553">
        <f>IF(CN$4&lt;&gt;1,"",COUNTIF(CN9:CN13,"ง"))</f>
        <v/>
      </c>
      <c r="CO16" s="553">
        <f>IF(CO$4&lt;&gt;1,"",COUNTIF(CO9:CO13,"ง"))</f>
        <v/>
      </c>
      <c r="CP16" s="553">
        <f>IF(CP$4&lt;&gt;1,"",COUNTIF(CP9:CP13,"ง"))</f>
        <v/>
      </c>
      <c r="CQ16" s="553">
        <f>IF(CQ$4&lt;&gt;1,"",COUNTIF(CQ9:CQ13,"ง"))</f>
        <v/>
      </c>
      <c r="CR16" s="553">
        <f>IF(CR$4&lt;&gt;1,"",COUNTIF(CR9:CR13,"ง"))</f>
        <v/>
      </c>
      <c r="CS16" s="553">
        <f>IF(CS$4&lt;&gt;1,"",COUNTIF(CS9:CS13,"ง"))</f>
        <v/>
      </c>
      <c r="CT16" s="553">
        <f>IF(CT$4&lt;&gt;1,"",COUNTIF(CT9:CT13,"ง"))</f>
        <v/>
      </c>
      <c r="CU16" s="553">
        <f>IF(CU$4&lt;&gt;1,"",COUNTIF(CU9:CU13,"ง"))</f>
        <v/>
      </c>
      <c r="CV16" s="553">
        <f>IF(CV$4&lt;&gt;1,"",COUNTIF(CV9:CV13,"ง"))</f>
        <v/>
      </c>
      <c r="CW16" s="553">
        <f>IF(CW$4&lt;&gt;1,"",COUNTIF(CW9:CW13,"ง"))</f>
        <v/>
      </c>
      <c r="CX16" s="553">
        <f>IF(CX$4&lt;&gt;1,"",COUNTIF(CX9:CX13,"ง"))</f>
        <v/>
      </c>
      <c r="CY16" s="554" t="n"/>
      <c r="CZ16" s="555" t="n"/>
      <c r="DA16" s="556" t="n"/>
      <c r="DB16" s="552">
        <f>IF(DB$4&lt;&gt;1,"",COUNTIF(DB9:DB13,"ง"))</f>
        <v/>
      </c>
      <c r="DC16" s="553">
        <f>IF(DC$4&lt;&gt;1,"",COUNTIF(DC9:DC13,"ง"))</f>
        <v/>
      </c>
      <c r="DD16" s="553">
        <f>IF(DD$4&lt;&gt;1,"",COUNTIF(DD9:DD13,"ง"))</f>
        <v/>
      </c>
      <c r="DE16" s="553">
        <f>IF(DE$4&lt;&gt;1,"",COUNTIF(DE9:DE13,"ง"))</f>
        <v/>
      </c>
      <c r="DF16" s="553">
        <f>IF(DF$4&lt;&gt;1,"",COUNTIF(DF9:DF13,"ง"))</f>
        <v/>
      </c>
      <c r="DG16" s="553">
        <f>IF(DG$4&lt;&gt;1,"",COUNTIF(DG9:DG13,"ง"))</f>
        <v/>
      </c>
      <c r="DH16" s="553">
        <f>IF(DH$4&lt;&gt;1,"",COUNTIF(DH9:DH13,"ง"))</f>
        <v/>
      </c>
      <c r="DI16" s="553">
        <f>IF(DI$4&lt;&gt;1,"",COUNTIF(DI9:DI13,"ง"))</f>
        <v/>
      </c>
      <c r="DJ16" s="553">
        <f>IF(DJ$4&lt;&gt;1,"",COUNTIF(DJ9:DJ13,"ง"))</f>
        <v/>
      </c>
      <c r="DK16" s="553">
        <f>IF(DK$4&lt;&gt;1,"",COUNTIF(DK9:DK13,"ง"))</f>
        <v/>
      </c>
      <c r="DL16" s="553">
        <f>IF(DL$4&lt;&gt;1,"",COUNTIF(DL9:DL13,"ง"))</f>
        <v/>
      </c>
      <c r="DM16" s="553">
        <f>IF(DM$4&lt;&gt;1,"",COUNTIF(DM9:DM13,"ง"))</f>
        <v/>
      </c>
      <c r="DN16" s="553">
        <f>IF(DN$4&lt;&gt;1,"",COUNTIF(DN9:DN13,"ง"))</f>
        <v/>
      </c>
      <c r="DO16" s="553">
        <f>IF(DO$4&lt;&gt;1,"",COUNTIF(DO9:DO13,"ง"))</f>
        <v/>
      </c>
      <c r="DP16" s="553">
        <f>IF(DP$4&lt;&gt;1,"",COUNTIF(DP9:DP13,"ง"))</f>
        <v/>
      </c>
      <c r="DQ16" s="553">
        <f>IF(DQ$4&lt;&gt;1,"",COUNTIF(DQ9:DQ13,"ง"))</f>
        <v/>
      </c>
      <c r="DR16" s="553">
        <f>IF(DR$4&lt;&gt;1,"",COUNTIF(DR9:DR13,"ง"))</f>
        <v/>
      </c>
      <c r="DS16" s="553">
        <f>IF(DS$4&lt;&gt;1,"",COUNTIF(DS9:DS13,"ง"))</f>
        <v/>
      </c>
      <c r="DT16" s="553">
        <f>IF(DT$4&lt;&gt;1,"",COUNTIF(DT9:DT13,"ง"))</f>
        <v/>
      </c>
      <c r="DU16" s="553">
        <f>IF(DU$4&lt;&gt;1,"",COUNTIF(DU9:DU13,"ง"))</f>
        <v/>
      </c>
      <c r="DV16" s="553">
        <f>IF(DV$4&lt;&gt;1,"",COUNTIF(DV9:DV13,"ง"))</f>
        <v/>
      </c>
      <c r="DW16" s="553">
        <f>IF(DW$4&lt;&gt;1,"",COUNTIF(DW9:DW13,"ง"))</f>
        <v/>
      </c>
      <c r="DX16" s="553">
        <f>IF(DX$4&lt;&gt;1,"",COUNTIF(DX9:DX13,"ง"))</f>
        <v/>
      </c>
      <c r="DY16" s="553">
        <f>IF(DY$4&lt;&gt;1,"",COUNTIF(DY9:DY13,"ง"))</f>
        <v/>
      </c>
      <c r="DZ16" s="553">
        <f>IF(DZ$4&lt;&gt;1,"",COUNTIF(DZ9:DZ13,"ง"))</f>
        <v/>
      </c>
      <c r="EA16" s="553">
        <f>IF(EA$4&lt;&gt;1,"",COUNTIF(EA9:EA13,"ง"))</f>
        <v/>
      </c>
      <c r="EB16" s="553">
        <f>IF(EB$4&lt;&gt;1,"",COUNTIF(EB9:EB13,"ง"))</f>
        <v/>
      </c>
      <c r="EC16" s="553">
        <f>IF(EC$4&lt;&gt;1,"",COUNTIF(EC9:EC13,"ง"))</f>
        <v/>
      </c>
      <c r="ED16" s="553">
        <f>IF(ED$4&lt;&gt;1,"",COUNTIF(ED9:ED13,"ง"))</f>
        <v/>
      </c>
      <c r="EE16" s="553">
        <f>IF(EE$4&lt;&gt;1,"",COUNTIF(EE9:EE13,"ง"))</f>
        <v/>
      </c>
      <c r="EF16" s="553">
        <f>IF(EF$4&lt;&gt;1,"",COUNTIF(EF9:EF13,"ง"))</f>
        <v/>
      </c>
      <c r="EG16" s="554" t="n"/>
      <c r="EH16" s="555" t="n"/>
      <c r="EI16" s="556" t="n"/>
      <c r="EJ16" s="552">
        <f>IF(EJ$4&lt;&gt;1,"",COUNTIF(EJ9:EJ13,"ง"))</f>
        <v/>
      </c>
      <c r="EK16" s="553">
        <f>IF(EK$4&lt;&gt;1,"",COUNTIF(EK9:EK13,"ง"))</f>
        <v/>
      </c>
      <c r="EL16" s="553">
        <f>IF(EL$4&lt;&gt;1,"",COUNTIF(EL9:EL13,"ง"))</f>
        <v/>
      </c>
      <c r="EM16" s="553">
        <f>IF(EM$4&lt;&gt;1,"",COUNTIF(EM9:EM13,"ง"))</f>
        <v/>
      </c>
      <c r="EN16" s="553">
        <f>IF(EN$4&lt;&gt;1,"",COUNTIF(EN9:EN13,"ง"))</f>
        <v/>
      </c>
      <c r="EO16" s="553">
        <f>IF(EO$4&lt;&gt;1,"",COUNTIF(EO9:EO13,"ง"))</f>
        <v/>
      </c>
      <c r="EP16" s="553">
        <f>IF(EP$4&lt;&gt;1,"",COUNTIF(EP9:EP13,"ง"))</f>
        <v/>
      </c>
      <c r="EQ16" s="553">
        <f>IF(EQ$4&lt;&gt;1,"",COUNTIF(EQ9:EQ13,"ง"))</f>
        <v/>
      </c>
      <c r="ER16" s="553">
        <f>IF(ER$4&lt;&gt;1,"",COUNTIF(ER9:ER13,"ง"))</f>
        <v/>
      </c>
      <c r="ES16" s="553">
        <f>IF(ES$4&lt;&gt;1,"",COUNTIF(ES9:ES13,"ง"))</f>
        <v/>
      </c>
      <c r="ET16" s="553">
        <f>IF(ET$4&lt;&gt;1,"",COUNTIF(ET9:ET13,"ง"))</f>
        <v/>
      </c>
      <c r="EU16" s="553">
        <f>IF(EU$4&lt;&gt;1,"",COUNTIF(EU9:EU13,"ง"))</f>
        <v/>
      </c>
      <c r="EV16" s="553">
        <f>IF(EV$4&lt;&gt;1,"",COUNTIF(EV9:EV13,"ง"))</f>
        <v/>
      </c>
      <c r="EW16" s="553">
        <f>IF(EW$4&lt;&gt;1,"",COUNTIF(EW9:EW13,"ง"))</f>
        <v/>
      </c>
      <c r="EX16" s="553">
        <f>IF(EX$4&lt;&gt;1,"",COUNTIF(EX9:EX13,"ง"))</f>
        <v/>
      </c>
      <c r="EY16" s="553">
        <f>IF(EY$4&lt;&gt;1,"",COUNTIF(EY9:EY13,"ง"))</f>
        <v/>
      </c>
      <c r="EZ16" s="553">
        <f>IF(EZ$4&lt;&gt;1,"",COUNTIF(EZ9:EZ13,"ง"))</f>
        <v/>
      </c>
      <c r="FA16" s="553">
        <f>IF(FA$4&lt;&gt;1,"",COUNTIF(FA9:FA13,"ง"))</f>
        <v/>
      </c>
      <c r="FB16" s="553">
        <f>IF(FB$4&lt;&gt;1,"",COUNTIF(FB9:FB13,"ง"))</f>
        <v/>
      </c>
      <c r="FC16" s="553">
        <f>IF(FC$4&lt;&gt;1,"",COUNTIF(FC9:FC13,"ง"))</f>
        <v/>
      </c>
      <c r="FD16" s="553">
        <f>IF(FD$4&lt;&gt;1,"",COUNTIF(FD9:FD13,"ง"))</f>
        <v/>
      </c>
      <c r="FE16" s="553">
        <f>IF(FE$4&lt;&gt;1,"",COUNTIF(FE9:FE13,"ง"))</f>
        <v/>
      </c>
      <c r="FF16" s="553">
        <f>IF(FF$4&lt;&gt;1,"",COUNTIF(FF9:FF13,"ง"))</f>
        <v/>
      </c>
      <c r="FG16" s="553">
        <f>IF(FG$4&lt;&gt;1,"",COUNTIF(FG9:FG13,"ง"))</f>
        <v/>
      </c>
      <c r="FH16" s="553">
        <f>IF(FH$4&lt;&gt;1,"",COUNTIF(FH9:FH13,"ง"))</f>
        <v/>
      </c>
      <c r="FI16" s="553">
        <f>IF(FI$4&lt;&gt;1,"",COUNTIF(FI9:FI13,"ง"))</f>
        <v/>
      </c>
      <c r="FJ16" s="553">
        <f>IF(FJ$4&lt;&gt;1,"",COUNTIF(FJ9:FJ13,"ง"))</f>
        <v/>
      </c>
      <c r="FK16" s="553">
        <f>IF(FK$4&lt;&gt;1,"",COUNTIF(FK9:FK13,"ง"))</f>
        <v/>
      </c>
      <c r="FL16" s="553">
        <f>IF(FL$4&lt;&gt;1,"",COUNTIF(FL9:FL13,"ง"))</f>
        <v/>
      </c>
      <c r="FM16" s="553">
        <f>IF(FM$4&lt;&gt;1,"",COUNTIF(FM9:FM13,"ง"))</f>
        <v/>
      </c>
      <c r="FN16" s="553">
        <f>IF(FN$4&lt;&gt;1,"",COUNTIF(FN9:FN13,"ง"))</f>
        <v/>
      </c>
      <c r="FO16" s="554" t="n"/>
      <c r="FP16" s="555" t="n"/>
      <c r="FQ16" s="556" t="n"/>
    </row>
    <row r="17">
      <c r="A17" s="551" t="inlineStr"/>
      <c r="B17" s="184" t="n"/>
      <c r="C17" s="184" t="n"/>
      <c r="D17" s="557" t="n"/>
      <c r="E17" s="558" t="n"/>
      <c r="F17" s="558" t="n"/>
      <c r="G17" s="558" t="n"/>
      <c r="H17" s="558" t="n"/>
      <c r="I17" s="558" t="n"/>
      <c r="J17" s="558" t="n"/>
      <c r="K17" s="558" t="n"/>
      <c r="L17" s="558" t="n"/>
      <c r="M17" s="558" t="n"/>
      <c r="N17" s="558" t="n"/>
      <c r="O17" s="558" t="n"/>
      <c r="P17" s="558" t="n"/>
      <c r="Q17" s="558" t="n"/>
      <c r="R17" s="558" t="n"/>
      <c r="S17" s="558" t="n"/>
      <c r="T17" s="558" t="n"/>
      <c r="U17" s="558" t="n"/>
      <c r="V17" s="558" t="n"/>
      <c r="W17" s="558" t="n"/>
      <c r="X17" s="558" t="n"/>
      <c r="Y17" s="558" t="n"/>
      <c r="Z17" s="558" t="n"/>
      <c r="AA17" s="558" t="n"/>
      <c r="AB17" s="558" t="n"/>
      <c r="AC17" s="558" t="n"/>
      <c r="AD17" s="558" t="n"/>
      <c r="AE17" s="558" t="n"/>
      <c r="AF17" s="558" t="n"/>
      <c r="AG17" s="558" t="n"/>
      <c r="AH17" s="558" t="n"/>
      <c r="AI17" s="554" t="n"/>
      <c r="AJ17" s="555" t="n"/>
      <c r="AK17" s="556" t="n"/>
      <c r="AL17" s="557" t="n"/>
      <c r="AM17" s="558" t="n"/>
      <c r="AN17" s="558" t="n"/>
      <c r="AO17" s="558" t="n"/>
      <c r="AP17" s="558" t="n"/>
      <c r="AQ17" s="558" t="n"/>
      <c r="AR17" s="558" t="n"/>
      <c r="AS17" s="558" t="n"/>
      <c r="AT17" s="558" t="n"/>
      <c r="AU17" s="558" t="n"/>
      <c r="AV17" s="558" t="n"/>
      <c r="AW17" s="558" t="n"/>
      <c r="AX17" s="558" t="n"/>
      <c r="AY17" s="558" t="n"/>
      <c r="AZ17" s="558" t="n"/>
      <c r="BA17" s="558" t="n"/>
      <c r="BB17" s="558" t="n"/>
      <c r="BC17" s="558" t="n"/>
      <c r="BD17" s="558" t="n"/>
      <c r="BE17" s="558" t="n"/>
      <c r="BF17" s="558" t="n"/>
      <c r="BG17" s="558" t="n"/>
      <c r="BH17" s="558" t="n"/>
      <c r="BI17" s="558" t="n"/>
      <c r="BJ17" s="558" t="n"/>
      <c r="BK17" s="558" t="n"/>
      <c r="BL17" s="558" t="n"/>
      <c r="BM17" s="558" t="n"/>
      <c r="BN17" s="558" t="n"/>
      <c r="BO17" s="558" t="n"/>
      <c r="BP17" s="558" t="n"/>
      <c r="BQ17" s="554" t="n"/>
      <c r="BR17" s="555" t="n"/>
      <c r="BS17" s="556" t="n"/>
      <c r="BT17" s="557" t="n"/>
      <c r="BU17" s="558" t="n"/>
      <c r="BV17" s="558" t="n"/>
      <c r="BW17" s="558" t="n"/>
      <c r="BX17" s="558" t="n"/>
      <c r="BY17" s="558" t="n"/>
      <c r="BZ17" s="558" t="n"/>
      <c r="CA17" s="558" t="n"/>
      <c r="CB17" s="558" t="n"/>
      <c r="CC17" s="558" t="n"/>
      <c r="CD17" s="558" t="n"/>
      <c r="CE17" s="558" t="n"/>
      <c r="CF17" s="558" t="n"/>
      <c r="CG17" s="558" t="n"/>
      <c r="CH17" s="558" t="n"/>
      <c r="CI17" s="558" t="n"/>
      <c r="CJ17" s="558" t="n"/>
      <c r="CK17" s="558" t="n"/>
      <c r="CL17" s="558" t="n"/>
      <c r="CM17" s="558" t="n"/>
      <c r="CN17" s="558" t="n"/>
      <c r="CO17" s="558" t="n"/>
      <c r="CP17" s="558" t="n"/>
      <c r="CQ17" s="558" t="n"/>
      <c r="CR17" s="558" t="n"/>
      <c r="CS17" s="558" t="n"/>
      <c r="CT17" s="558" t="n"/>
      <c r="CU17" s="558" t="n"/>
      <c r="CV17" s="558" t="n"/>
      <c r="CW17" s="558" t="n"/>
      <c r="CX17" s="558" t="n"/>
      <c r="CY17" s="554" t="n"/>
      <c r="CZ17" s="555" t="n"/>
      <c r="DA17" s="556" t="n"/>
      <c r="DB17" s="557" t="n"/>
      <c r="DC17" s="558" t="n"/>
      <c r="DD17" s="558" t="n"/>
      <c r="DE17" s="558" t="n"/>
      <c r="DF17" s="558" t="n"/>
      <c r="DG17" s="558" t="n"/>
      <c r="DH17" s="558" t="n"/>
      <c r="DI17" s="558" t="n"/>
      <c r="DJ17" s="558" t="n"/>
      <c r="DK17" s="558" t="n"/>
      <c r="DL17" s="558" t="n"/>
      <c r="DM17" s="558" t="n"/>
      <c r="DN17" s="558" t="n"/>
      <c r="DO17" s="558" t="n"/>
      <c r="DP17" s="558" t="n"/>
      <c r="DQ17" s="558" t="n"/>
      <c r="DR17" s="558" t="n"/>
      <c r="DS17" s="558" t="n"/>
      <c r="DT17" s="558" t="n"/>
      <c r="DU17" s="558" t="n"/>
      <c r="DV17" s="558" t="n"/>
      <c r="DW17" s="558" t="n"/>
      <c r="DX17" s="558" t="n"/>
      <c r="DY17" s="558" t="n"/>
      <c r="DZ17" s="558" t="n"/>
      <c r="EA17" s="558" t="n"/>
      <c r="EB17" s="558" t="n"/>
      <c r="EC17" s="558" t="n"/>
      <c r="ED17" s="558" t="n"/>
      <c r="EE17" s="558" t="n"/>
      <c r="EF17" s="558" t="n"/>
      <c r="EG17" s="554" t="n"/>
      <c r="EH17" s="555" t="n"/>
      <c r="EI17" s="556" t="n"/>
      <c r="EJ17" s="557" t="n"/>
      <c r="EK17" s="558" t="n"/>
      <c r="EL17" s="558" t="n"/>
      <c r="EM17" s="558" t="n"/>
      <c r="EN17" s="558" t="n"/>
      <c r="EO17" s="558" t="n"/>
      <c r="EP17" s="558" t="n"/>
      <c r="EQ17" s="558" t="n"/>
      <c r="ER17" s="558" t="n"/>
      <c r="ES17" s="558" t="n"/>
      <c r="ET17" s="558" t="n"/>
      <c r="EU17" s="558" t="n"/>
      <c r="EV17" s="558" t="n"/>
      <c r="EW17" s="558" t="n"/>
      <c r="EX17" s="558" t="n"/>
      <c r="EY17" s="558" t="n"/>
      <c r="EZ17" s="558" t="n"/>
      <c r="FA17" s="558" t="n"/>
      <c r="FB17" s="558" t="n"/>
      <c r="FC17" s="558" t="n"/>
      <c r="FD17" s="558" t="n"/>
      <c r="FE17" s="558" t="n"/>
      <c r="FF17" s="558" t="n"/>
      <c r="FG17" s="558" t="n"/>
      <c r="FH17" s="558" t="n"/>
      <c r="FI17" s="558" t="n"/>
      <c r="FJ17" s="558" t="n"/>
      <c r="FK17" s="558" t="n"/>
      <c r="FL17" s="558" t="n"/>
      <c r="FM17" s="558" t="n"/>
      <c r="FN17" s="558" t="n"/>
      <c r="FO17" s="554" t="n"/>
      <c r="FP17" s="555" t="n"/>
      <c r="FQ17" s="55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">
      <formula>D9="น"</formula>
    </cfRule>
    <cfRule type="expression" priority="16" dxfId="11">
      <formula>D9="พ"</formula>
    </cfRule>
    <cfRule type="expression" priority="17" dxfId="2">
      <formula>D9="อ"</formula>
    </cfRule>
    <cfRule type="expression" priority="18" dxfId="11">
      <formula>D9="ช"</formula>
    </cfRule>
    <cfRule type="expression" priority="19" dxfId="1">
      <formula>D9="ร"</formula>
    </cfRule>
    <cfRule type="expression" priority="20" dxfId="12">
      <formula>D9="ผ"</formula>
    </cfRule>
    <cfRule type="expression" priority="21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น  พ  ง" type="list">
      <formula1>"น,พ,ง"</formula1>
    </dataValidation>
    <dataValidation sqref="AL9:BP13" showDropDown="0" showInputMessage="0" showErrorMessage="0" allowBlank="1" errorTitle="ตรวจสอบข้อมูล" error="ใช้รหัส: น  พ  ง" type="list">
      <formula1>"น,พ,ง"</formula1>
    </dataValidation>
    <dataValidation sqref="BT9:CX13" showDropDown="0" showInputMessage="0" showErrorMessage="0" allowBlank="1" errorTitle="ตรวจสอบข้อมูล" error="ใช้รหัส: น  พ  ง" type="list">
      <formula1>"น,พ,ง"</formula1>
    </dataValidation>
    <dataValidation sqref="DB9:EF13" showDropDown="0" showInputMessage="0" showErrorMessage="0" allowBlank="1" errorTitle="ตรวจสอบข้อมูล" error="ใช้รหัส: น  พ  ง" type="list">
      <formula1>"น,พ,ง"</formula1>
    </dataValidation>
    <dataValidation sqref="EJ9:FN13" showDropDown="0" showInputMessage="0" showErrorMessage="0" allowBlank="1" errorTitle="ตรวจสอบข้อมูล" error="ใช้รหัส: น  พ  ง" type="list">
      <formula1>"น,พ,ง"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tabColor rgb="005BC4D2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559" t="inlineStr">
        <is>
          <t>🏠</t>
        </is>
      </c>
      <c r="B1" s="560" t="n"/>
      <c r="C1" s="560" t="n"/>
      <c r="D1" s="560" t="n"/>
      <c r="E1" s="560" t="n"/>
      <c r="F1" s="560" t="n"/>
      <c r="G1" s="560" t="n"/>
      <c r="H1" s="560" t="n"/>
      <c r="I1" s="560" t="n"/>
      <c r="J1" s="560" t="n"/>
      <c r="K1" s="560" t="n"/>
      <c r="L1" s="560" t="n"/>
      <c r="M1" s="560" t="n"/>
      <c r="N1" s="560" t="n"/>
      <c r="O1" s="560" t="n"/>
      <c r="P1" s="560" t="n"/>
      <c r="Q1" s="560" t="n"/>
      <c r="R1" s="560" t="n"/>
      <c r="S1" s="560" t="n"/>
      <c r="T1" s="560" t="n"/>
      <c r="U1" s="560" t="n"/>
      <c r="V1" s="560" t="n"/>
      <c r="W1" s="560" t="n"/>
      <c r="X1" s="560" t="n"/>
      <c r="Y1" s="560" t="n"/>
      <c r="Z1" s="560" t="n"/>
      <c r="AA1" s="560" t="n"/>
      <c r="AB1" s="560" t="n"/>
      <c r="AC1" s="560" t="n"/>
      <c r="AD1" s="560" t="n"/>
      <c r="AE1" s="560" t="n"/>
      <c r="AF1" s="560" t="n"/>
      <c r="AG1" s="560" t="n"/>
      <c r="AH1" s="560" t="n"/>
      <c r="AI1" s="560" t="n"/>
      <c r="AJ1" s="560" t="n"/>
      <c r="AK1" s="560" t="n"/>
      <c r="AL1" s="560" t="n"/>
      <c r="AM1" s="560" t="n"/>
      <c r="AN1" s="560" t="n"/>
      <c r="AO1" s="560" t="n"/>
      <c r="AP1" s="560" t="n"/>
      <c r="AQ1" s="560" t="n"/>
      <c r="AR1" s="560" t="n"/>
      <c r="AS1" s="560" t="n"/>
      <c r="AT1" s="560" t="n"/>
      <c r="AU1" s="560" t="n"/>
      <c r="AV1" s="560" t="n"/>
      <c r="AW1" s="560" t="n"/>
      <c r="AX1" s="560" t="n"/>
      <c r="AY1" s="560" t="n"/>
      <c r="AZ1" s="560" t="n"/>
      <c r="BA1" s="560" t="n"/>
      <c r="BB1" s="560" t="n"/>
      <c r="BC1" s="560" t="n"/>
      <c r="BD1" s="560" t="n"/>
      <c r="BE1" s="560" t="n"/>
      <c r="BF1" s="560" t="n"/>
      <c r="BG1" s="560" t="n"/>
      <c r="BH1" s="560" t="n"/>
      <c r="BI1" s="560" t="n"/>
      <c r="BJ1" s="560" t="n"/>
      <c r="BK1" s="560" t="n"/>
      <c r="BL1" s="560" t="n"/>
      <c r="BM1" s="560" t="n"/>
      <c r="BN1" s="560" t="n"/>
      <c r="BO1" s="560" t="n"/>
      <c r="BP1" s="560" t="n"/>
      <c r="BQ1" s="560" t="n"/>
      <c r="BR1" s="560" t="n"/>
      <c r="BS1" s="560" t="n"/>
      <c r="BT1" s="560" t="n"/>
      <c r="BU1" s="560" t="n"/>
      <c r="BV1" s="560" t="n"/>
      <c r="BW1" s="560" t="n"/>
      <c r="BX1" s="560" t="n"/>
      <c r="BY1" s="560" t="n"/>
      <c r="BZ1" s="560" t="n"/>
      <c r="CA1" s="560" t="n"/>
      <c r="CB1" s="560" t="n"/>
      <c r="CC1" s="560" t="n"/>
      <c r="CD1" s="560" t="n"/>
      <c r="CE1" s="560" t="n"/>
      <c r="CF1" s="560" t="n"/>
      <c r="CG1" s="560" t="n"/>
      <c r="CH1" s="560" t="n"/>
      <c r="CI1" s="560" t="n"/>
      <c r="CJ1" s="560" t="n"/>
      <c r="CK1" s="560" t="n"/>
      <c r="CL1" s="560" t="n"/>
      <c r="CM1" s="560" t="n"/>
      <c r="CN1" s="560" t="n"/>
      <c r="CO1" s="560" t="n"/>
      <c r="CP1" s="560" t="n"/>
      <c r="CQ1" s="560" t="n"/>
      <c r="CR1" s="560" t="n"/>
      <c r="CS1" s="560" t="n"/>
      <c r="CT1" s="560" t="n"/>
      <c r="CU1" s="560" t="n"/>
      <c r="CV1" s="560" t="n"/>
      <c r="CW1" s="560" t="n"/>
      <c r="CX1" s="560" t="n"/>
      <c r="CY1" s="560" t="n"/>
      <c r="CZ1" s="560" t="n"/>
      <c r="DA1" s="560" t="n"/>
      <c r="DB1" s="560" t="n"/>
      <c r="DC1" s="560" t="n"/>
      <c r="DD1" s="560" t="n"/>
      <c r="DE1" s="560" t="n"/>
      <c r="DF1" s="560" t="n"/>
      <c r="DG1" s="560" t="n"/>
      <c r="DH1" s="560" t="n"/>
      <c r="DI1" s="560" t="n"/>
      <c r="DJ1" s="560" t="n"/>
      <c r="DK1" s="560" t="n"/>
      <c r="DL1" s="560" t="n"/>
      <c r="DM1" s="560" t="n"/>
      <c r="DN1" s="560" t="n"/>
      <c r="DO1" s="560" t="n"/>
      <c r="DP1" s="560" t="n"/>
      <c r="DQ1" s="560" t="n"/>
      <c r="DR1" s="560" t="n"/>
      <c r="DS1" s="560" t="n"/>
      <c r="DT1" s="560" t="n"/>
      <c r="DU1" s="560" t="n"/>
      <c r="DV1" s="560" t="n"/>
      <c r="DW1" s="560" t="n"/>
      <c r="DX1" s="560" t="n"/>
      <c r="DY1" s="560" t="n"/>
      <c r="DZ1" s="560" t="n"/>
      <c r="EA1" s="560" t="n"/>
      <c r="EB1" s="560" t="n"/>
      <c r="EC1" s="560" t="n"/>
      <c r="ED1" s="560" t="n"/>
      <c r="EE1" s="560" t="n"/>
      <c r="EF1" s="560" t="n"/>
      <c r="EG1" s="560" t="n"/>
      <c r="EH1" s="560" t="n"/>
      <c r="EI1" s="560" t="n"/>
      <c r="EJ1" s="560" t="n"/>
      <c r="EK1" s="560" t="n"/>
      <c r="EL1" s="560" t="n"/>
      <c r="EM1" s="560" t="n"/>
      <c r="EN1" s="560" t="n"/>
      <c r="EO1" s="560" t="n"/>
      <c r="EP1" s="560" t="n"/>
      <c r="EQ1" s="560" t="n"/>
      <c r="ER1" s="560" t="n"/>
      <c r="ES1" s="560" t="n"/>
      <c r="ET1" s="560" t="n"/>
      <c r="EU1" s="560" t="n"/>
      <c r="EV1" s="560" t="n"/>
      <c r="EW1" s="560" t="n"/>
      <c r="EX1" s="560" t="n"/>
      <c r="EY1" s="560" t="n"/>
      <c r="EZ1" s="560" t="n"/>
      <c r="FA1" s="560" t="n"/>
      <c r="FB1" s="560" t="n"/>
      <c r="FC1" s="560" t="n"/>
      <c r="FD1" s="560" t="n"/>
      <c r="FE1" s="560" t="n"/>
      <c r="FF1" s="560" t="n"/>
      <c r="FG1" s="560" t="n"/>
      <c r="FH1" s="560" t="n"/>
      <c r="FI1" s="560" t="n"/>
      <c r="FJ1" s="560" t="n"/>
      <c r="FK1" s="560" t="n"/>
      <c r="FL1" s="560" t="n"/>
      <c r="FM1" s="560" t="n"/>
      <c r="FN1" s="560" t="n"/>
      <c r="FO1" s="560" t="n"/>
      <c r="FP1" s="560" t="n"/>
      <c r="FQ1" s="560" t="n"/>
      <c r="FR1" s="560" t="n"/>
      <c r="FS1" s="560" t="n"/>
      <c r="FT1" s="560" t="n"/>
      <c r="FU1" s="560" t="n"/>
      <c r="FV1" s="560" t="n"/>
      <c r="FW1" s="560" t="n"/>
      <c r="FX1" s="560" t="n"/>
      <c r="FY1" s="560" t="n"/>
      <c r="FZ1" s="560" t="n"/>
      <c r="GA1" s="560" t="n"/>
      <c r="GB1" s="560" t="n"/>
      <c r="GC1" s="560" t="n"/>
      <c r="GD1" s="560" t="n"/>
      <c r="GE1" s="560" t="n"/>
      <c r="GF1" s="560" t="n"/>
      <c r="GG1" s="560" t="n"/>
      <c r="GH1" s="560" t="n"/>
      <c r="GI1" s="560" t="n"/>
      <c r="GJ1" s="560" t="n"/>
      <c r="GK1" s="560" t="n"/>
      <c r="GL1" s="560" t="n"/>
      <c r="GM1" s="560" t="n"/>
      <c r="GN1" s="560" t="n"/>
      <c r="GO1" s="560" t="n"/>
      <c r="GP1" s="560" t="n"/>
      <c r="GQ1" s="560" t="n"/>
      <c r="GR1" s="560" t="n"/>
      <c r="GS1" s="560" t="n"/>
      <c r="GT1" s="560" t="n"/>
      <c r="GU1" s="560" t="n"/>
      <c r="GV1" s="560" t="n"/>
      <c r="GW1" s="560" t="n"/>
      <c r="GX1" s="560" t="n"/>
      <c r="GY1" s="560" t="n"/>
    </row>
    <row r="2" ht="20" customHeight="1">
      <c r="A2" s="561" t="inlineStr">
        <is>
          <t>หน้าหลัก</t>
        </is>
      </c>
      <c r="B2" s="56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63" t="n"/>
      <c r="D2" s="563" t="n"/>
      <c r="E2" s="563" t="n"/>
      <c r="F2" s="563" t="n"/>
      <c r="G2" s="563" t="n"/>
      <c r="H2" s="563" t="n"/>
      <c r="I2" s="563" t="n"/>
      <c r="J2" s="563" t="n"/>
      <c r="K2" s="563" t="n"/>
      <c r="L2" s="563" t="n"/>
      <c r="M2" s="563" t="n"/>
      <c r="N2" s="563" t="n"/>
      <c r="O2" s="563" t="n"/>
      <c r="P2" s="563" t="n"/>
      <c r="Q2" s="563" t="n"/>
      <c r="R2" s="563" t="n"/>
      <c r="S2" s="563" t="n"/>
      <c r="T2" s="563" t="n"/>
      <c r="U2" s="563" t="n"/>
      <c r="V2" s="563" t="n"/>
      <c r="W2" s="563" t="n"/>
      <c r="X2" s="563" t="n"/>
      <c r="Y2" s="563" t="n"/>
      <c r="Z2" s="563" t="n"/>
      <c r="AA2" s="563" t="n"/>
      <c r="AB2" s="563" t="n"/>
      <c r="AC2" s="563" t="n"/>
      <c r="AD2" s="563" t="n"/>
      <c r="AE2" s="563" t="n"/>
      <c r="AF2" s="563" t="n"/>
      <c r="AG2" s="563" t="n"/>
      <c r="AH2" s="563" t="n"/>
      <c r="AI2" s="563" t="n"/>
      <c r="AJ2" s="563" t="n"/>
      <c r="AK2" s="563" t="n"/>
      <c r="AL2" s="563" t="n"/>
      <c r="AM2" s="563" t="n"/>
      <c r="AN2" s="563" t="n"/>
      <c r="AO2" s="563" t="n"/>
      <c r="AP2" s="563" t="n"/>
      <c r="AQ2" s="563" t="n"/>
      <c r="AR2" s="563" t="n"/>
      <c r="AS2" s="563" t="n"/>
      <c r="AT2" s="563" t="n"/>
      <c r="AU2" s="563" t="n"/>
      <c r="AV2" s="563" t="n"/>
      <c r="AW2" s="563" t="n"/>
      <c r="AX2" s="563" t="n"/>
      <c r="AY2" s="563" t="n"/>
      <c r="AZ2" s="563" t="n"/>
      <c r="BA2" s="563" t="n"/>
      <c r="BB2" s="563" t="n"/>
      <c r="BC2" s="563" t="n"/>
      <c r="BD2" s="563" t="n"/>
      <c r="BE2" s="563" t="n"/>
      <c r="BF2" s="563" t="n"/>
      <c r="BG2" s="563" t="n"/>
      <c r="BH2" s="563" t="n"/>
      <c r="BI2" s="563" t="n"/>
      <c r="BJ2" s="563" t="n"/>
      <c r="BK2" s="563" t="n"/>
      <c r="BL2" s="563" t="n"/>
      <c r="BM2" s="563" t="n"/>
      <c r="BN2" s="563" t="n"/>
      <c r="BO2" s="563" t="n"/>
      <c r="BP2" s="563" t="n"/>
      <c r="BQ2" s="563" t="n"/>
      <c r="BR2" s="563" t="n"/>
      <c r="BS2" s="563" t="n"/>
      <c r="BT2" s="563" t="n"/>
      <c r="BU2" s="563" t="n"/>
      <c r="BV2" s="563" t="n"/>
      <c r="BW2" s="563" t="n"/>
      <c r="BX2" s="563" t="n"/>
      <c r="BY2" s="563" t="n"/>
      <c r="BZ2" s="563" t="n"/>
      <c r="CA2" s="563" t="n"/>
      <c r="CB2" s="563" t="n"/>
      <c r="CC2" s="563" t="n"/>
      <c r="CD2" s="563" t="n"/>
      <c r="CE2" s="563" t="n"/>
      <c r="CF2" s="563" t="n"/>
      <c r="CG2" s="563" t="n"/>
      <c r="CH2" s="563" t="n"/>
      <c r="CI2" s="563" t="n"/>
      <c r="CJ2" s="563" t="n"/>
      <c r="CK2" s="563" t="n"/>
      <c r="CL2" s="563" t="n"/>
      <c r="CM2" s="563" t="n"/>
      <c r="CN2" s="563" t="n"/>
      <c r="CO2" s="563" t="n"/>
      <c r="CP2" s="563" t="n"/>
      <c r="CQ2" s="563" t="n"/>
      <c r="CR2" s="563" t="n"/>
      <c r="CS2" s="563" t="n"/>
      <c r="CT2" s="563" t="n"/>
      <c r="CU2" s="563" t="n"/>
      <c r="CV2" s="563" t="n"/>
      <c r="CW2" s="563" t="n"/>
      <c r="CX2" s="563" t="n"/>
      <c r="CY2" s="563" t="n"/>
      <c r="CZ2" s="563" t="n"/>
      <c r="DA2" s="563" t="n"/>
      <c r="DB2" s="563" t="n"/>
      <c r="DC2" s="563" t="n"/>
      <c r="DD2" s="563" t="n"/>
      <c r="DE2" s="563" t="n"/>
      <c r="DF2" s="563" t="n"/>
      <c r="DG2" s="563" t="n"/>
      <c r="DH2" s="563" t="n"/>
      <c r="DI2" s="563" t="n"/>
      <c r="DJ2" s="563" t="n"/>
      <c r="DK2" s="563" t="n"/>
      <c r="DL2" s="563" t="n"/>
      <c r="DM2" s="563" t="n"/>
      <c r="DN2" s="563" t="n"/>
      <c r="DO2" s="563" t="n"/>
      <c r="DP2" s="563" t="n"/>
      <c r="DQ2" s="563" t="n"/>
      <c r="DR2" s="563" t="n"/>
      <c r="DS2" s="563" t="n"/>
      <c r="DT2" s="563" t="n"/>
      <c r="DU2" s="563" t="n"/>
      <c r="DV2" s="563" t="n"/>
      <c r="DW2" s="563" t="n"/>
      <c r="DX2" s="563" t="n"/>
      <c r="DY2" s="563" t="n"/>
      <c r="DZ2" s="563" t="n"/>
      <c r="EA2" s="563" t="n"/>
      <c r="EB2" s="563" t="n"/>
      <c r="EC2" s="563" t="n"/>
      <c r="ED2" s="563" t="n"/>
      <c r="EE2" s="563" t="n"/>
      <c r="EF2" s="563" t="n"/>
      <c r="EG2" s="563" t="n"/>
      <c r="EH2" s="563" t="n"/>
      <c r="EI2" s="563" t="n"/>
      <c r="EJ2" s="563" t="n"/>
      <c r="EK2" s="563" t="n"/>
      <c r="EL2" s="563" t="n"/>
      <c r="EM2" s="563" t="n"/>
      <c r="EN2" s="563" t="n"/>
      <c r="EO2" s="563" t="n"/>
      <c r="EP2" s="563" t="n"/>
      <c r="EQ2" s="563" t="n"/>
      <c r="ER2" s="563" t="n"/>
      <c r="ES2" s="563" t="n"/>
      <c r="ET2" s="563" t="n"/>
      <c r="EU2" s="563" t="n"/>
      <c r="EV2" s="563" t="n"/>
      <c r="EW2" s="563" t="n"/>
      <c r="EX2" s="563" t="n"/>
      <c r="EY2" s="563" t="n"/>
      <c r="EZ2" s="563" t="n"/>
      <c r="FA2" s="563" t="n"/>
      <c r="FB2" s="563" t="n"/>
      <c r="FC2" s="563" t="n"/>
      <c r="FD2" s="563" t="n"/>
      <c r="FE2" s="563" t="n"/>
      <c r="FF2" s="563" t="n"/>
      <c r="FG2" s="563" t="n"/>
      <c r="FH2" s="563" t="n"/>
      <c r="FI2" s="563" t="n"/>
      <c r="FJ2" s="563" t="n"/>
      <c r="FK2" s="563" t="n"/>
      <c r="FL2" s="563" t="n"/>
      <c r="FM2" s="563" t="n"/>
      <c r="FN2" s="563" t="n"/>
      <c r="FO2" s="563" t="n"/>
      <c r="FP2" s="563" t="n"/>
      <c r="FQ2" s="563" t="n"/>
      <c r="FR2" s="563" t="n"/>
      <c r="FS2" s="563" t="n"/>
      <c r="FT2" s="563" t="n"/>
      <c r="FU2" s="563" t="n"/>
      <c r="FV2" s="563" t="n"/>
      <c r="FW2" s="563" t="n"/>
      <c r="FX2" s="563" t="n"/>
      <c r="FY2" s="563" t="n"/>
      <c r="FZ2" s="563" t="n"/>
      <c r="GA2" s="563" t="n"/>
      <c r="GB2" s="563" t="n"/>
      <c r="GC2" s="563" t="n"/>
      <c r="GD2" s="563" t="n"/>
      <c r="GE2" s="563" t="n"/>
      <c r="GF2" s="563" t="n"/>
      <c r="GG2" s="563" t="n"/>
      <c r="GH2" s="563" t="n"/>
      <c r="GI2" s="563" t="n"/>
      <c r="GJ2" s="563" t="n"/>
      <c r="GK2" s="563" t="n"/>
      <c r="GL2" s="563" t="n"/>
      <c r="GM2" s="563" t="n"/>
      <c r="GN2" s="563" t="n"/>
      <c r="GO2" s="563" t="n"/>
      <c r="GP2" s="563" t="n"/>
      <c r="GQ2" s="563" t="n"/>
      <c r="GR2" s="563" t="n"/>
      <c r="GS2" s="563" t="n"/>
      <c r="GT2" s="563" t="n"/>
      <c r="GU2" s="563" t="n"/>
      <c r="GV2" s="563" t="n"/>
      <c r="GW2" s="563" t="n"/>
      <c r="GX2" s="563" t="n"/>
      <c r="GY2" s="563" t="n"/>
    </row>
    <row r="3" ht="18" customHeight="1">
      <c r="B3" s="564" t="inlineStr">
        <is>
          <t>รหัส   อ = เข้าห้องน้ำเองได้     ช = ครูช่วยเหลือ     ร = ราด / เปียก     ผ = ใส่ผ้าอ้อม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214" t="inlineStr">
        <is>
          <t>เลขที่</t>
        </is>
      </c>
      <c r="B5" s="214" t="inlineStr">
        <is>
          <t>ชื่อ - สกุล</t>
        </is>
      </c>
      <c r="C5" s="473" t="inlineStr">
        <is>
          <t>ร้อยละ
ทำเองได้</t>
        </is>
      </c>
      <c r="D5" s="565">
        <f>"เดือนพฤษภาคม  พ.ศ. "&amp;('ข้อมูลโรงเรียน'!$C$12-543+543)</f>
        <v/>
      </c>
      <c r="AI5" s="566" t="inlineStr">
        <is>
          <t>สรุป พ.ค.</t>
        </is>
      </c>
      <c r="AL5" s="565">
        <f>"เดือนมิถุนายน  พ.ศ. "&amp;('ข้อมูลโรงเรียน'!$C$12-543+543)</f>
        <v/>
      </c>
      <c r="BQ5" s="566" t="inlineStr">
        <is>
          <t>สรุป มิ.ย.</t>
        </is>
      </c>
      <c r="BT5" s="565">
        <f>"เดือนกรกฎาคม  พ.ศ. "&amp;('ข้อมูลโรงเรียน'!$C$12-543+543)</f>
        <v/>
      </c>
      <c r="CY5" s="566" t="inlineStr">
        <is>
          <t>สรุป ก.ค.</t>
        </is>
      </c>
      <c r="DB5" s="565">
        <f>"เดือนสิงหาคม  พ.ศ. "&amp;('ข้อมูลโรงเรียน'!$C$12-543+543)</f>
        <v/>
      </c>
      <c r="EG5" s="566" t="inlineStr">
        <is>
          <t>สรุป ส.ค.</t>
        </is>
      </c>
      <c r="EJ5" s="565">
        <f>"เดือนกันยายน  พ.ศ. "&amp;('ข้อมูลโรงเรียน'!$C$12-543+543)</f>
        <v/>
      </c>
      <c r="FO5" s="566" t="inlineStr">
        <is>
          <t>สรุป ก.ย.</t>
        </is>
      </c>
      <c r="FR5" s="565">
        <f>"เดือนตุลาคม  พ.ศ. "&amp;('ข้อมูลโรงเรียน'!$C$12-543+543)</f>
        <v/>
      </c>
      <c r="GW5" s="566" t="inlineStr">
        <is>
          <t>สรุป ต.ค.</t>
        </is>
      </c>
    </row>
    <row r="6">
      <c r="D6" s="567">
        <f>IF('ปฏิทิน'!D1="","",DAY('ปฏิทิน'!D1))</f>
        <v/>
      </c>
      <c r="E6" s="473">
        <f>IF('ปฏิทิน'!E1="","",DAY('ปฏิทิน'!E1))</f>
        <v/>
      </c>
      <c r="F6" s="473">
        <f>IF('ปฏิทิน'!F1="","",DAY('ปฏิทิน'!F1))</f>
        <v/>
      </c>
      <c r="G6" s="473">
        <f>IF('ปฏิทิน'!G1="","",DAY('ปฏิทิน'!G1))</f>
        <v/>
      </c>
      <c r="H6" s="473">
        <f>IF('ปฏิทิน'!H1="","",DAY('ปฏิทิน'!H1))</f>
        <v/>
      </c>
      <c r="I6" s="473">
        <f>IF('ปฏิทิน'!I1="","",DAY('ปฏิทิน'!I1))</f>
        <v/>
      </c>
      <c r="J6" s="473">
        <f>IF('ปฏิทิน'!J1="","",DAY('ปฏิทิน'!J1))</f>
        <v/>
      </c>
      <c r="K6" s="473">
        <f>IF('ปฏิทิน'!K1="","",DAY('ปฏิทิน'!K1))</f>
        <v/>
      </c>
      <c r="L6" s="473">
        <f>IF('ปฏิทิน'!L1="","",DAY('ปฏิทิน'!L1))</f>
        <v/>
      </c>
      <c r="M6" s="473">
        <f>IF('ปฏิทิน'!M1="","",DAY('ปฏิทิน'!M1))</f>
        <v/>
      </c>
      <c r="N6" s="473">
        <f>IF('ปฏิทิน'!N1="","",DAY('ปฏิทิน'!N1))</f>
        <v/>
      </c>
      <c r="O6" s="473">
        <f>IF('ปฏิทิน'!O1="","",DAY('ปฏิทิน'!O1))</f>
        <v/>
      </c>
      <c r="P6" s="473">
        <f>IF('ปฏิทิน'!P1="","",DAY('ปฏิทิน'!P1))</f>
        <v/>
      </c>
      <c r="Q6" s="473">
        <f>IF('ปฏิทิน'!Q1="","",DAY('ปฏิทิน'!Q1))</f>
        <v/>
      </c>
      <c r="R6" s="473">
        <f>IF('ปฏิทิน'!R1="","",DAY('ปฏิทิน'!R1))</f>
        <v/>
      </c>
      <c r="S6" s="473">
        <f>IF('ปฏิทิน'!S1="","",DAY('ปฏิทิน'!S1))</f>
        <v/>
      </c>
      <c r="T6" s="473">
        <f>IF('ปฏิทิน'!T1="","",DAY('ปฏิทิน'!T1))</f>
        <v/>
      </c>
      <c r="U6" s="473">
        <f>IF('ปฏิทิน'!U1="","",DAY('ปฏิทิน'!U1))</f>
        <v/>
      </c>
      <c r="V6" s="473">
        <f>IF('ปฏิทิน'!V1="","",DAY('ปฏิทิน'!V1))</f>
        <v/>
      </c>
      <c r="W6" s="473">
        <f>IF('ปฏิทิน'!W1="","",DAY('ปฏิทิน'!W1))</f>
        <v/>
      </c>
      <c r="X6" s="473">
        <f>IF('ปฏิทิน'!X1="","",DAY('ปฏิทิน'!X1))</f>
        <v/>
      </c>
      <c r="Y6" s="473">
        <f>IF('ปฏิทิน'!Y1="","",DAY('ปฏิทิน'!Y1))</f>
        <v/>
      </c>
      <c r="Z6" s="473">
        <f>IF('ปฏิทิน'!Z1="","",DAY('ปฏิทิน'!Z1))</f>
        <v/>
      </c>
      <c r="AA6" s="473">
        <f>IF('ปฏิทิน'!AA1="","",DAY('ปฏิทิน'!AA1))</f>
        <v/>
      </c>
      <c r="AB6" s="473">
        <f>IF('ปฏิทิน'!AB1="","",DAY('ปฏิทิน'!AB1))</f>
        <v/>
      </c>
      <c r="AC6" s="473">
        <f>IF('ปฏิทิน'!AC1="","",DAY('ปฏิทิน'!AC1))</f>
        <v/>
      </c>
      <c r="AD6" s="473">
        <f>IF('ปฏิทิน'!AD1="","",DAY('ปฏิทิน'!AD1))</f>
        <v/>
      </c>
      <c r="AE6" s="473">
        <f>IF('ปฏิทิน'!AE1="","",DAY('ปฏิทิน'!AE1))</f>
        <v/>
      </c>
      <c r="AF6" s="473">
        <f>IF('ปฏิทิน'!AF1="","",DAY('ปฏิทิน'!AF1))</f>
        <v/>
      </c>
      <c r="AG6" s="473">
        <f>IF('ปฏิทิน'!AG1="","",DAY('ปฏิทิน'!AG1))</f>
        <v/>
      </c>
      <c r="AH6" s="473">
        <f>IF('ปฏิทิน'!AH1="","",DAY('ปฏิทิน'!AH1))</f>
        <v/>
      </c>
      <c r="AI6" s="568" t="inlineStr">
        <is>
          <t>ทำ
เอง</t>
        </is>
      </c>
      <c r="AJ6" s="569" t="inlineStr">
        <is>
          <t>ช่วย/
ผ้าอ้อม</t>
        </is>
      </c>
      <c r="AK6" s="570" t="inlineStr">
        <is>
          <t>ราด</t>
        </is>
      </c>
      <c r="AL6" s="567">
        <f>IF('ปฏิทิน'!AL1="","",DAY('ปฏิทิน'!AL1))</f>
        <v/>
      </c>
      <c r="AM6" s="473">
        <f>IF('ปฏิทิน'!AM1="","",DAY('ปฏิทิน'!AM1))</f>
        <v/>
      </c>
      <c r="AN6" s="473">
        <f>IF('ปฏิทิน'!AN1="","",DAY('ปฏิทิน'!AN1))</f>
        <v/>
      </c>
      <c r="AO6" s="473">
        <f>IF('ปฏิทิน'!AO1="","",DAY('ปฏิทิน'!AO1))</f>
        <v/>
      </c>
      <c r="AP6" s="473">
        <f>IF('ปฏิทิน'!AP1="","",DAY('ปฏิทิน'!AP1))</f>
        <v/>
      </c>
      <c r="AQ6" s="473">
        <f>IF('ปฏิทิน'!AQ1="","",DAY('ปฏิทิน'!AQ1))</f>
        <v/>
      </c>
      <c r="AR6" s="473">
        <f>IF('ปฏิทิน'!AR1="","",DAY('ปฏิทิน'!AR1))</f>
        <v/>
      </c>
      <c r="AS6" s="473">
        <f>IF('ปฏิทิน'!AS1="","",DAY('ปฏิทิน'!AS1))</f>
        <v/>
      </c>
      <c r="AT6" s="473">
        <f>IF('ปฏิทิน'!AT1="","",DAY('ปฏิทิน'!AT1))</f>
        <v/>
      </c>
      <c r="AU6" s="473">
        <f>IF('ปฏิทิน'!AU1="","",DAY('ปฏิทิน'!AU1))</f>
        <v/>
      </c>
      <c r="AV6" s="473">
        <f>IF('ปฏิทิน'!AV1="","",DAY('ปฏิทิน'!AV1))</f>
        <v/>
      </c>
      <c r="AW6" s="473">
        <f>IF('ปฏิทิน'!AW1="","",DAY('ปฏิทิน'!AW1))</f>
        <v/>
      </c>
      <c r="AX6" s="473">
        <f>IF('ปฏิทิน'!AX1="","",DAY('ปฏิทิน'!AX1))</f>
        <v/>
      </c>
      <c r="AY6" s="473">
        <f>IF('ปฏิทิน'!AY1="","",DAY('ปฏิทิน'!AY1))</f>
        <v/>
      </c>
      <c r="AZ6" s="473">
        <f>IF('ปฏิทิน'!AZ1="","",DAY('ปฏิทิน'!AZ1))</f>
        <v/>
      </c>
      <c r="BA6" s="473">
        <f>IF('ปฏิทิน'!BA1="","",DAY('ปฏิทิน'!BA1))</f>
        <v/>
      </c>
      <c r="BB6" s="473">
        <f>IF('ปฏิทิน'!BB1="","",DAY('ปฏิทิน'!BB1))</f>
        <v/>
      </c>
      <c r="BC6" s="473">
        <f>IF('ปฏิทิน'!BC1="","",DAY('ปฏิทิน'!BC1))</f>
        <v/>
      </c>
      <c r="BD6" s="473">
        <f>IF('ปฏิทิน'!BD1="","",DAY('ปฏิทิน'!BD1))</f>
        <v/>
      </c>
      <c r="BE6" s="473">
        <f>IF('ปฏิทิน'!BE1="","",DAY('ปฏิทิน'!BE1))</f>
        <v/>
      </c>
      <c r="BF6" s="473">
        <f>IF('ปฏิทิน'!BF1="","",DAY('ปฏิทิน'!BF1))</f>
        <v/>
      </c>
      <c r="BG6" s="473">
        <f>IF('ปฏิทิน'!BG1="","",DAY('ปฏิทิน'!BG1))</f>
        <v/>
      </c>
      <c r="BH6" s="473">
        <f>IF('ปฏิทิน'!BH1="","",DAY('ปฏิทิน'!BH1))</f>
        <v/>
      </c>
      <c r="BI6" s="473">
        <f>IF('ปฏิทิน'!BI1="","",DAY('ปฏิทิน'!BI1))</f>
        <v/>
      </c>
      <c r="BJ6" s="473">
        <f>IF('ปฏิทิน'!BJ1="","",DAY('ปฏิทิน'!BJ1))</f>
        <v/>
      </c>
      <c r="BK6" s="473">
        <f>IF('ปฏิทิน'!BK1="","",DAY('ปฏิทิน'!BK1))</f>
        <v/>
      </c>
      <c r="BL6" s="473">
        <f>IF('ปฏิทิน'!BL1="","",DAY('ปฏิทิน'!BL1))</f>
        <v/>
      </c>
      <c r="BM6" s="473">
        <f>IF('ปฏิทิน'!BM1="","",DAY('ปฏิทิน'!BM1))</f>
        <v/>
      </c>
      <c r="BN6" s="473">
        <f>IF('ปฏิทิน'!BN1="","",DAY('ปฏิทิน'!BN1))</f>
        <v/>
      </c>
      <c r="BO6" s="473">
        <f>IF('ปฏิทิน'!BO1="","",DAY('ปฏิทิน'!BO1))</f>
        <v/>
      </c>
      <c r="BP6" s="473">
        <f>IF('ปฏิทิน'!BP1="","",DAY('ปฏิทิน'!BP1))</f>
        <v/>
      </c>
      <c r="BQ6" s="568" t="inlineStr">
        <is>
          <t>ทำ
เอง</t>
        </is>
      </c>
      <c r="BR6" s="569" t="inlineStr">
        <is>
          <t>ช่วย/
ผ้าอ้อม</t>
        </is>
      </c>
      <c r="BS6" s="570" t="inlineStr">
        <is>
          <t>ราด</t>
        </is>
      </c>
      <c r="BT6" s="567">
        <f>IF('ปฏิทิน'!BT1="","",DAY('ปฏิทิน'!BT1))</f>
        <v/>
      </c>
      <c r="BU6" s="473">
        <f>IF('ปฏิทิน'!BU1="","",DAY('ปฏิทิน'!BU1))</f>
        <v/>
      </c>
      <c r="BV6" s="473">
        <f>IF('ปฏิทิน'!BV1="","",DAY('ปฏิทิน'!BV1))</f>
        <v/>
      </c>
      <c r="BW6" s="473">
        <f>IF('ปฏิทิน'!BW1="","",DAY('ปฏิทิน'!BW1))</f>
        <v/>
      </c>
      <c r="BX6" s="473">
        <f>IF('ปฏิทิน'!BX1="","",DAY('ปฏิทิน'!BX1))</f>
        <v/>
      </c>
      <c r="BY6" s="473">
        <f>IF('ปฏิทิน'!BY1="","",DAY('ปฏิทิน'!BY1))</f>
        <v/>
      </c>
      <c r="BZ6" s="473">
        <f>IF('ปฏิทิน'!BZ1="","",DAY('ปฏิทิน'!BZ1))</f>
        <v/>
      </c>
      <c r="CA6" s="473">
        <f>IF('ปฏิทิน'!CA1="","",DAY('ปฏิทิน'!CA1))</f>
        <v/>
      </c>
      <c r="CB6" s="473">
        <f>IF('ปฏิทิน'!CB1="","",DAY('ปฏิทิน'!CB1))</f>
        <v/>
      </c>
      <c r="CC6" s="473">
        <f>IF('ปฏิทิน'!CC1="","",DAY('ปฏิทิน'!CC1))</f>
        <v/>
      </c>
      <c r="CD6" s="473">
        <f>IF('ปฏิทิน'!CD1="","",DAY('ปฏิทิน'!CD1))</f>
        <v/>
      </c>
      <c r="CE6" s="473">
        <f>IF('ปฏิทิน'!CE1="","",DAY('ปฏิทิน'!CE1))</f>
        <v/>
      </c>
      <c r="CF6" s="473">
        <f>IF('ปฏิทิน'!CF1="","",DAY('ปฏิทิน'!CF1))</f>
        <v/>
      </c>
      <c r="CG6" s="473">
        <f>IF('ปฏิทิน'!CG1="","",DAY('ปฏิทิน'!CG1))</f>
        <v/>
      </c>
      <c r="CH6" s="473">
        <f>IF('ปฏิทิน'!CH1="","",DAY('ปฏิทิน'!CH1))</f>
        <v/>
      </c>
      <c r="CI6" s="473">
        <f>IF('ปฏิทิน'!CI1="","",DAY('ปฏิทิน'!CI1))</f>
        <v/>
      </c>
      <c r="CJ6" s="473">
        <f>IF('ปฏิทิน'!CJ1="","",DAY('ปฏิทิน'!CJ1))</f>
        <v/>
      </c>
      <c r="CK6" s="473">
        <f>IF('ปฏิทิน'!CK1="","",DAY('ปฏิทิน'!CK1))</f>
        <v/>
      </c>
      <c r="CL6" s="473">
        <f>IF('ปฏิทิน'!CL1="","",DAY('ปฏิทิน'!CL1))</f>
        <v/>
      </c>
      <c r="CM6" s="473">
        <f>IF('ปฏิทิน'!CM1="","",DAY('ปฏิทิน'!CM1))</f>
        <v/>
      </c>
      <c r="CN6" s="473">
        <f>IF('ปฏิทิน'!CN1="","",DAY('ปฏิทิน'!CN1))</f>
        <v/>
      </c>
      <c r="CO6" s="473">
        <f>IF('ปฏิทิน'!CO1="","",DAY('ปฏิทิน'!CO1))</f>
        <v/>
      </c>
      <c r="CP6" s="473">
        <f>IF('ปฏิทิน'!CP1="","",DAY('ปฏิทิน'!CP1))</f>
        <v/>
      </c>
      <c r="CQ6" s="473">
        <f>IF('ปฏิทิน'!CQ1="","",DAY('ปฏิทิน'!CQ1))</f>
        <v/>
      </c>
      <c r="CR6" s="473">
        <f>IF('ปฏิทิน'!CR1="","",DAY('ปฏิทิน'!CR1))</f>
        <v/>
      </c>
      <c r="CS6" s="473">
        <f>IF('ปฏิทิน'!CS1="","",DAY('ปฏิทิน'!CS1))</f>
        <v/>
      </c>
      <c r="CT6" s="473">
        <f>IF('ปฏิทิน'!CT1="","",DAY('ปฏิทิน'!CT1))</f>
        <v/>
      </c>
      <c r="CU6" s="473">
        <f>IF('ปฏิทิน'!CU1="","",DAY('ปฏิทิน'!CU1))</f>
        <v/>
      </c>
      <c r="CV6" s="473">
        <f>IF('ปฏิทิน'!CV1="","",DAY('ปฏิทิน'!CV1))</f>
        <v/>
      </c>
      <c r="CW6" s="473">
        <f>IF('ปฏิทิน'!CW1="","",DAY('ปฏิทิน'!CW1))</f>
        <v/>
      </c>
      <c r="CX6" s="473">
        <f>IF('ปฏิทิน'!CX1="","",DAY('ปฏิทิน'!CX1))</f>
        <v/>
      </c>
      <c r="CY6" s="568" t="inlineStr">
        <is>
          <t>ทำ
เอง</t>
        </is>
      </c>
      <c r="CZ6" s="569" t="inlineStr">
        <is>
          <t>ช่วย/
ผ้าอ้อม</t>
        </is>
      </c>
      <c r="DA6" s="570" t="inlineStr">
        <is>
          <t>ราด</t>
        </is>
      </c>
      <c r="DB6" s="567">
        <f>IF('ปฏิทิน'!DB1="","",DAY('ปฏิทิน'!DB1))</f>
        <v/>
      </c>
      <c r="DC6" s="473">
        <f>IF('ปฏิทิน'!DC1="","",DAY('ปฏิทิน'!DC1))</f>
        <v/>
      </c>
      <c r="DD6" s="473">
        <f>IF('ปฏิทิน'!DD1="","",DAY('ปฏิทิน'!DD1))</f>
        <v/>
      </c>
      <c r="DE6" s="473">
        <f>IF('ปฏิทิน'!DE1="","",DAY('ปฏิทิน'!DE1))</f>
        <v/>
      </c>
      <c r="DF6" s="473">
        <f>IF('ปฏิทิน'!DF1="","",DAY('ปฏิทิน'!DF1))</f>
        <v/>
      </c>
      <c r="DG6" s="473">
        <f>IF('ปฏิทิน'!DG1="","",DAY('ปฏิทิน'!DG1))</f>
        <v/>
      </c>
      <c r="DH6" s="473">
        <f>IF('ปฏิทิน'!DH1="","",DAY('ปฏิทิน'!DH1))</f>
        <v/>
      </c>
      <c r="DI6" s="473">
        <f>IF('ปฏิทิน'!DI1="","",DAY('ปฏิทิน'!DI1))</f>
        <v/>
      </c>
      <c r="DJ6" s="473">
        <f>IF('ปฏิทิน'!DJ1="","",DAY('ปฏิทิน'!DJ1))</f>
        <v/>
      </c>
      <c r="DK6" s="473">
        <f>IF('ปฏิทิน'!DK1="","",DAY('ปฏิทิน'!DK1))</f>
        <v/>
      </c>
      <c r="DL6" s="473">
        <f>IF('ปฏิทิน'!DL1="","",DAY('ปฏิทิน'!DL1))</f>
        <v/>
      </c>
      <c r="DM6" s="473">
        <f>IF('ปฏิทิน'!DM1="","",DAY('ปฏิทิน'!DM1))</f>
        <v/>
      </c>
      <c r="DN6" s="473">
        <f>IF('ปฏิทิน'!DN1="","",DAY('ปฏิทิน'!DN1))</f>
        <v/>
      </c>
      <c r="DO6" s="473">
        <f>IF('ปฏิทิน'!DO1="","",DAY('ปฏิทิน'!DO1))</f>
        <v/>
      </c>
      <c r="DP6" s="473">
        <f>IF('ปฏิทิน'!DP1="","",DAY('ปฏิทิน'!DP1))</f>
        <v/>
      </c>
      <c r="DQ6" s="473">
        <f>IF('ปฏิทิน'!DQ1="","",DAY('ปฏิทิน'!DQ1))</f>
        <v/>
      </c>
      <c r="DR6" s="473">
        <f>IF('ปฏิทิน'!DR1="","",DAY('ปฏิทิน'!DR1))</f>
        <v/>
      </c>
      <c r="DS6" s="473">
        <f>IF('ปฏิทิน'!DS1="","",DAY('ปฏิทิน'!DS1))</f>
        <v/>
      </c>
      <c r="DT6" s="473">
        <f>IF('ปฏิทิน'!DT1="","",DAY('ปฏิทิน'!DT1))</f>
        <v/>
      </c>
      <c r="DU6" s="473">
        <f>IF('ปฏิทิน'!DU1="","",DAY('ปฏิทิน'!DU1))</f>
        <v/>
      </c>
      <c r="DV6" s="473">
        <f>IF('ปฏิทิน'!DV1="","",DAY('ปฏิทิน'!DV1))</f>
        <v/>
      </c>
      <c r="DW6" s="473">
        <f>IF('ปฏิทิน'!DW1="","",DAY('ปฏิทิน'!DW1))</f>
        <v/>
      </c>
      <c r="DX6" s="473">
        <f>IF('ปฏิทิน'!DX1="","",DAY('ปฏิทิน'!DX1))</f>
        <v/>
      </c>
      <c r="DY6" s="473">
        <f>IF('ปฏิทิน'!DY1="","",DAY('ปฏิทิน'!DY1))</f>
        <v/>
      </c>
      <c r="DZ6" s="473">
        <f>IF('ปฏิทิน'!DZ1="","",DAY('ปฏิทิน'!DZ1))</f>
        <v/>
      </c>
      <c r="EA6" s="473">
        <f>IF('ปฏิทิน'!EA1="","",DAY('ปฏิทิน'!EA1))</f>
        <v/>
      </c>
      <c r="EB6" s="473">
        <f>IF('ปฏิทิน'!EB1="","",DAY('ปฏิทิน'!EB1))</f>
        <v/>
      </c>
      <c r="EC6" s="473">
        <f>IF('ปฏิทิน'!EC1="","",DAY('ปฏิทิน'!EC1))</f>
        <v/>
      </c>
      <c r="ED6" s="473">
        <f>IF('ปฏิทิน'!ED1="","",DAY('ปฏิทิน'!ED1))</f>
        <v/>
      </c>
      <c r="EE6" s="473">
        <f>IF('ปฏิทิน'!EE1="","",DAY('ปฏิทิน'!EE1))</f>
        <v/>
      </c>
      <c r="EF6" s="473">
        <f>IF('ปฏิทิน'!EF1="","",DAY('ปฏิทิน'!EF1))</f>
        <v/>
      </c>
      <c r="EG6" s="568" t="inlineStr">
        <is>
          <t>ทำ
เอง</t>
        </is>
      </c>
      <c r="EH6" s="569" t="inlineStr">
        <is>
          <t>ช่วย/
ผ้าอ้อม</t>
        </is>
      </c>
      <c r="EI6" s="570" t="inlineStr">
        <is>
          <t>ราด</t>
        </is>
      </c>
      <c r="EJ6" s="567">
        <f>IF('ปฏิทิน'!EJ1="","",DAY('ปฏิทิน'!EJ1))</f>
        <v/>
      </c>
      <c r="EK6" s="473">
        <f>IF('ปฏิทิน'!EK1="","",DAY('ปฏิทิน'!EK1))</f>
        <v/>
      </c>
      <c r="EL6" s="473">
        <f>IF('ปฏิทิน'!EL1="","",DAY('ปฏิทิน'!EL1))</f>
        <v/>
      </c>
      <c r="EM6" s="473">
        <f>IF('ปฏิทิน'!EM1="","",DAY('ปฏิทิน'!EM1))</f>
        <v/>
      </c>
      <c r="EN6" s="473">
        <f>IF('ปฏิทิน'!EN1="","",DAY('ปฏิทิน'!EN1))</f>
        <v/>
      </c>
      <c r="EO6" s="473">
        <f>IF('ปฏิทิน'!EO1="","",DAY('ปฏิทิน'!EO1))</f>
        <v/>
      </c>
      <c r="EP6" s="473">
        <f>IF('ปฏิทิน'!EP1="","",DAY('ปฏิทิน'!EP1))</f>
        <v/>
      </c>
      <c r="EQ6" s="473">
        <f>IF('ปฏิทิน'!EQ1="","",DAY('ปฏิทิน'!EQ1))</f>
        <v/>
      </c>
      <c r="ER6" s="473">
        <f>IF('ปฏิทิน'!ER1="","",DAY('ปฏิทิน'!ER1))</f>
        <v/>
      </c>
      <c r="ES6" s="473">
        <f>IF('ปฏิทิน'!ES1="","",DAY('ปฏิทิน'!ES1))</f>
        <v/>
      </c>
      <c r="ET6" s="473">
        <f>IF('ปฏิทิน'!ET1="","",DAY('ปฏิทิน'!ET1))</f>
        <v/>
      </c>
      <c r="EU6" s="473">
        <f>IF('ปฏิทิน'!EU1="","",DAY('ปฏิทิน'!EU1))</f>
        <v/>
      </c>
      <c r="EV6" s="473">
        <f>IF('ปฏิทิน'!EV1="","",DAY('ปฏิทิน'!EV1))</f>
        <v/>
      </c>
      <c r="EW6" s="473">
        <f>IF('ปฏิทิน'!EW1="","",DAY('ปฏิทิน'!EW1))</f>
        <v/>
      </c>
      <c r="EX6" s="473">
        <f>IF('ปฏิทิน'!EX1="","",DAY('ปฏิทิน'!EX1))</f>
        <v/>
      </c>
      <c r="EY6" s="473">
        <f>IF('ปฏิทิน'!EY1="","",DAY('ปฏิทิน'!EY1))</f>
        <v/>
      </c>
      <c r="EZ6" s="473">
        <f>IF('ปฏิทิน'!EZ1="","",DAY('ปฏิทิน'!EZ1))</f>
        <v/>
      </c>
      <c r="FA6" s="473">
        <f>IF('ปฏิทิน'!FA1="","",DAY('ปฏิทิน'!FA1))</f>
        <v/>
      </c>
      <c r="FB6" s="473">
        <f>IF('ปฏิทิน'!FB1="","",DAY('ปฏิทิน'!FB1))</f>
        <v/>
      </c>
      <c r="FC6" s="473">
        <f>IF('ปฏิทิน'!FC1="","",DAY('ปฏิทิน'!FC1))</f>
        <v/>
      </c>
      <c r="FD6" s="473">
        <f>IF('ปฏิทิน'!FD1="","",DAY('ปฏิทิน'!FD1))</f>
        <v/>
      </c>
      <c r="FE6" s="473">
        <f>IF('ปฏิทิน'!FE1="","",DAY('ปฏิทิน'!FE1))</f>
        <v/>
      </c>
      <c r="FF6" s="473">
        <f>IF('ปฏิทิน'!FF1="","",DAY('ปฏิทิน'!FF1))</f>
        <v/>
      </c>
      <c r="FG6" s="473">
        <f>IF('ปฏิทิน'!FG1="","",DAY('ปฏิทิน'!FG1))</f>
        <v/>
      </c>
      <c r="FH6" s="473">
        <f>IF('ปฏิทิน'!FH1="","",DAY('ปฏิทิน'!FH1))</f>
        <v/>
      </c>
      <c r="FI6" s="473">
        <f>IF('ปฏิทิน'!FI1="","",DAY('ปฏิทิน'!FI1))</f>
        <v/>
      </c>
      <c r="FJ6" s="473">
        <f>IF('ปฏิทิน'!FJ1="","",DAY('ปฏิทิน'!FJ1))</f>
        <v/>
      </c>
      <c r="FK6" s="473">
        <f>IF('ปฏิทิน'!FK1="","",DAY('ปฏิทิน'!FK1))</f>
        <v/>
      </c>
      <c r="FL6" s="473">
        <f>IF('ปฏิทิน'!FL1="","",DAY('ปฏิทิน'!FL1))</f>
        <v/>
      </c>
      <c r="FM6" s="473">
        <f>IF('ปฏิทิน'!FM1="","",DAY('ปฏิทิน'!FM1))</f>
        <v/>
      </c>
      <c r="FN6" s="473">
        <f>IF('ปฏิทิน'!FN1="","",DAY('ปฏิทิน'!FN1))</f>
        <v/>
      </c>
      <c r="FO6" s="568" t="inlineStr">
        <is>
          <t>ทำ
เอง</t>
        </is>
      </c>
      <c r="FP6" s="569" t="inlineStr">
        <is>
          <t>ช่วย/
ผ้าอ้อม</t>
        </is>
      </c>
      <c r="FQ6" s="570" t="inlineStr">
        <is>
          <t>ราด</t>
        </is>
      </c>
      <c r="FR6" s="567">
        <f>IF('ปฏิทิน'!FR1="","",DAY('ปฏิทิน'!FR1))</f>
        <v/>
      </c>
      <c r="FS6" s="473">
        <f>IF('ปฏิทิน'!FS1="","",DAY('ปฏิทิน'!FS1))</f>
        <v/>
      </c>
      <c r="FT6" s="473">
        <f>IF('ปฏิทิน'!FT1="","",DAY('ปฏิทิน'!FT1))</f>
        <v/>
      </c>
      <c r="FU6" s="473">
        <f>IF('ปฏิทิน'!FU1="","",DAY('ปฏิทิน'!FU1))</f>
        <v/>
      </c>
      <c r="FV6" s="473">
        <f>IF('ปฏิทิน'!FV1="","",DAY('ปฏิทิน'!FV1))</f>
        <v/>
      </c>
      <c r="FW6" s="473">
        <f>IF('ปฏิทิน'!FW1="","",DAY('ปฏิทิน'!FW1))</f>
        <v/>
      </c>
      <c r="FX6" s="473">
        <f>IF('ปฏิทิน'!FX1="","",DAY('ปฏิทิน'!FX1))</f>
        <v/>
      </c>
      <c r="FY6" s="473">
        <f>IF('ปฏิทิน'!FY1="","",DAY('ปฏิทิน'!FY1))</f>
        <v/>
      </c>
      <c r="FZ6" s="473">
        <f>IF('ปฏิทิน'!FZ1="","",DAY('ปฏิทิน'!FZ1))</f>
        <v/>
      </c>
      <c r="GA6" s="473">
        <f>IF('ปฏิทิน'!GA1="","",DAY('ปฏิทิน'!GA1))</f>
        <v/>
      </c>
      <c r="GB6" s="473">
        <f>IF('ปฏิทิน'!GB1="","",DAY('ปฏิทิน'!GB1))</f>
        <v/>
      </c>
      <c r="GC6" s="473">
        <f>IF('ปฏิทิน'!GC1="","",DAY('ปฏิทิน'!GC1))</f>
        <v/>
      </c>
      <c r="GD6" s="473">
        <f>IF('ปฏิทิน'!GD1="","",DAY('ปฏิทิน'!GD1))</f>
        <v/>
      </c>
      <c r="GE6" s="473">
        <f>IF('ปฏิทิน'!GE1="","",DAY('ปฏิทิน'!GE1))</f>
        <v/>
      </c>
      <c r="GF6" s="473">
        <f>IF('ปฏิทิน'!GF1="","",DAY('ปฏิทิน'!GF1))</f>
        <v/>
      </c>
      <c r="GG6" s="473">
        <f>IF('ปฏิทิน'!GG1="","",DAY('ปฏิทิน'!GG1))</f>
        <v/>
      </c>
      <c r="GH6" s="473">
        <f>IF('ปฏิทิน'!GH1="","",DAY('ปฏิทิน'!GH1))</f>
        <v/>
      </c>
      <c r="GI6" s="473">
        <f>IF('ปฏิทิน'!GI1="","",DAY('ปฏิทิน'!GI1))</f>
        <v/>
      </c>
      <c r="GJ6" s="473">
        <f>IF('ปฏิทิน'!GJ1="","",DAY('ปฏิทิน'!GJ1))</f>
        <v/>
      </c>
      <c r="GK6" s="473">
        <f>IF('ปฏิทิน'!GK1="","",DAY('ปฏิทิน'!GK1))</f>
        <v/>
      </c>
      <c r="GL6" s="473">
        <f>IF('ปฏิทิน'!GL1="","",DAY('ปฏิทิน'!GL1))</f>
        <v/>
      </c>
      <c r="GM6" s="473">
        <f>IF('ปฏิทิน'!GM1="","",DAY('ปฏิทิน'!GM1))</f>
        <v/>
      </c>
      <c r="GN6" s="473">
        <f>IF('ปฏิทิน'!GN1="","",DAY('ปฏิทิน'!GN1))</f>
        <v/>
      </c>
      <c r="GO6" s="473">
        <f>IF('ปฏิทิน'!GO1="","",DAY('ปฏิทิน'!GO1))</f>
        <v/>
      </c>
      <c r="GP6" s="473">
        <f>IF('ปฏิทิน'!GP1="","",DAY('ปฏิทิน'!GP1))</f>
        <v/>
      </c>
      <c r="GQ6" s="473">
        <f>IF('ปฏิทิน'!GQ1="","",DAY('ปฏิทิน'!GQ1))</f>
        <v/>
      </c>
      <c r="GR6" s="473">
        <f>IF('ปฏิทิน'!GR1="","",DAY('ปฏิทิน'!GR1))</f>
        <v/>
      </c>
      <c r="GS6" s="473">
        <f>IF('ปฏิทิน'!GS1="","",DAY('ปฏิทิน'!GS1))</f>
        <v/>
      </c>
      <c r="GT6" s="473">
        <f>IF('ปฏิทิน'!GT1="","",DAY('ปฏิทิน'!GT1))</f>
        <v/>
      </c>
      <c r="GU6" s="473">
        <f>IF('ปฏิทิน'!GU1="","",DAY('ปฏิทิน'!GU1))</f>
        <v/>
      </c>
      <c r="GV6" s="473">
        <f>IF('ปฏิทิน'!GV1="","",DAY('ปฏิทิน'!GV1))</f>
        <v/>
      </c>
      <c r="GW6" s="568" t="inlineStr">
        <is>
          <t>ทำ
เอง</t>
        </is>
      </c>
      <c r="GX6" s="569" t="inlineStr">
        <is>
          <t>ช่วย/
ผ้าอ้อม</t>
        </is>
      </c>
      <c r="GY6" s="570" t="inlineStr">
        <is>
          <t>ราด</t>
        </is>
      </c>
    </row>
    <row r="7">
      <c r="D7" s="571">
        <f>IF('ปฏิทิน'!D1="","",CHOOSE(WEEKDAY('ปฏิทิน'!D1,2),"จ.","อ.","พ.","พฤ.","ศ.","ส.","อา."))</f>
        <v/>
      </c>
      <c r="E7" s="481">
        <f>IF('ปฏิทิน'!E1="","",CHOOSE(WEEKDAY('ปฏิทิน'!E1,2),"จ.","อ.","พ.","พฤ.","ศ.","ส.","อา."))</f>
        <v/>
      </c>
      <c r="F7" s="481">
        <f>IF('ปฏิทิน'!F1="","",CHOOSE(WEEKDAY('ปฏิทิน'!F1,2),"จ.","อ.","พ.","พฤ.","ศ.","ส.","อา."))</f>
        <v/>
      </c>
      <c r="G7" s="481">
        <f>IF('ปฏิทิน'!G1="","",CHOOSE(WEEKDAY('ปฏิทิน'!G1,2),"จ.","อ.","พ.","พฤ.","ศ.","ส.","อา."))</f>
        <v/>
      </c>
      <c r="H7" s="481">
        <f>IF('ปฏิทิน'!H1="","",CHOOSE(WEEKDAY('ปฏิทิน'!H1,2),"จ.","อ.","พ.","พฤ.","ศ.","ส.","อา."))</f>
        <v/>
      </c>
      <c r="I7" s="481">
        <f>IF('ปฏิทิน'!I1="","",CHOOSE(WEEKDAY('ปฏิทิน'!I1,2),"จ.","อ.","พ.","พฤ.","ศ.","ส.","อา."))</f>
        <v/>
      </c>
      <c r="J7" s="481">
        <f>IF('ปฏิทิน'!J1="","",CHOOSE(WEEKDAY('ปฏิทิน'!J1,2),"จ.","อ.","พ.","พฤ.","ศ.","ส.","อา."))</f>
        <v/>
      </c>
      <c r="K7" s="481">
        <f>IF('ปฏิทิน'!K1="","",CHOOSE(WEEKDAY('ปฏิทิน'!K1,2),"จ.","อ.","พ.","พฤ.","ศ.","ส.","อา."))</f>
        <v/>
      </c>
      <c r="L7" s="481">
        <f>IF('ปฏิทิน'!L1="","",CHOOSE(WEEKDAY('ปฏิทิน'!L1,2),"จ.","อ.","พ.","พฤ.","ศ.","ส.","อา."))</f>
        <v/>
      </c>
      <c r="M7" s="481">
        <f>IF('ปฏิทิน'!M1="","",CHOOSE(WEEKDAY('ปฏิทิน'!M1,2),"จ.","อ.","พ.","พฤ.","ศ.","ส.","อา."))</f>
        <v/>
      </c>
      <c r="N7" s="481">
        <f>IF('ปฏิทิน'!N1="","",CHOOSE(WEEKDAY('ปฏิทิน'!N1,2),"จ.","อ.","พ.","พฤ.","ศ.","ส.","อา."))</f>
        <v/>
      </c>
      <c r="O7" s="481">
        <f>IF('ปฏิทิน'!O1="","",CHOOSE(WEEKDAY('ปฏิทิน'!O1,2),"จ.","อ.","พ.","พฤ.","ศ.","ส.","อา."))</f>
        <v/>
      </c>
      <c r="P7" s="481">
        <f>IF('ปฏิทิน'!P1="","",CHOOSE(WEEKDAY('ปฏิทิน'!P1,2),"จ.","อ.","พ.","พฤ.","ศ.","ส.","อา."))</f>
        <v/>
      </c>
      <c r="Q7" s="481">
        <f>IF('ปฏิทิน'!Q1="","",CHOOSE(WEEKDAY('ปฏิทิน'!Q1,2),"จ.","อ.","พ.","พฤ.","ศ.","ส.","อา."))</f>
        <v/>
      </c>
      <c r="R7" s="481">
        <f>IF('ปฏิทิน'!R1="","",CHOOSE(WEEKDAY('ปฏิทิน'!R1,2),"จ.","อ.","พ.","พฤ.","ศ.","ส.","อา."))</f>
        <v/>
      </c>
      <c r="S7" s="481">
        <f>IF('ปฏิทิน'!S1="","",CHOOSE(WEEKDAY('ปฏิทิน'!S1,2),"จ.","อ.","พ.","พฤ.","ศ.","ส.","อา."))</f>
        <v/>
      </c>
      <c r="T7" s="481">
        <f>IF('ปฏิทิน'!T1="","",CHOOSE(WEEKDAY('ปฏิทิน'!T1,2),"จ.","อ.","พ.","พฤ.","ศ.","ส.","อา."))</f>
        <v/>
      </c>
      <c r="U7" s="481">
        <f>IF('ปฏิทิน'!U1="","",CHOOSE(WEEKDAY('ปฏิทิน'!U1,2),"จ.","อ.","พ.","พฤ.","ศ.","ส.","อา."))</f>
        <v/>
      </c>
      <c r="V7" s="481">
        <f>IF('ปฏิทิน'!V1="","",CHOOSE(WEEKDAY('ปฏิทิน'!V1,2),"จ.","อ.","พ.","พฤ.","ศ.","ส.","อา."))</f>
        <v/>
      </c>
      <c r="W7" s="481">
        <f>IF('ปฏิทิน'!W1="","",CHOOSE(WEEKDAY('ปฏิทิน'!W1,2),"จ.","อ.","พ.","พฤ.","ศ.","ส.","อา."))</f>
        <v/>
      </c>
      <c r="X7" s="481">
        <f>IF('ปฏิทิน'!X1="","",CHOOSE(WEEKDAY('ปฏิทิน'!X1,2),"จ.","อ.","พ.","พฤ.","ศ.","ส.","อา."))</f>
        <v/>
      </c>
      <c r="Y7" s="481">
        <f>IF('ปฏิทิน'!Y1="","",CHOOSE(WEEKDAY('ปฏิทิน'!Y1,2),"จ.","อ.","พ.","พฤ.","ศ.","ส.","อา."))</f>
        <v/>
      </c>
      <c r="Z7" s="481">
        <f>IF('ปฏิทิน'!Z1="","",CHOOSE(WEEKDAY('ปฏิทิน'!Z1,2),"จ.","อ.","พ.","พฤ.","ศ.","ส.","อา."))</f>
        <v/>
      </c>
      <c r="AA7" s="481">
        <f>IF('ปฏิทิน'!AA1="","",CHOOSE(WEEKDAY('ปฏิทิน'!AA1,2),"จ.","อ.","พ.","พฤ.","ศ.","ส.","อา."))</f>
        <v/>
      </c>
      <c r="AB7" s="481">
        <f>IF('ปฏิทิน'!AB1="","",CHOOSE(WEEKDAY('ปฏิทิน'!AB1,2),"จ.","อ.","พ.","พฤ.","ศ.","ส.","อา."))</f>
        <v/>
      </c>
      <c r="AC7" s="481">
        <f>IF('ปฏิทิน'!AC1="","",CHOOSE(WEEKDAY('ปฏิทิน'!AC1,2),"จ.","อ.","พ.","พฤ.","ศ.","ส.","อา."))</f>
        <v/>
      </c>
      <c r="AD7" s="481">
        <f>IF('ปฏิทิน'!AD1="","",CHOOSE(WEEKDAY('ปฏิทิน'!AD1,2),"จ.","อ.","พ.","พฤ.","ศ.","ส.","อา."))</f>
        <v/>
      </c>
      <c r="AE7" s="481">
        <f>IF('ปฏิทิน'!AE1="","",CHOOSE(WEEKDAY('ปฏิทิน'!AE1,2),"จ.","อ.","พ.","พฤ.","ศ.","ส.","อา."))</f>
        <v/>
      </c>
      <c r="AF7" s="481">
        <f>IF('ปฏิทิน'!AF1="","",CHOOSE(WEEKDAY('ปฏิทิน'!AF1,2),"จ.","อ.","พ.","พฤ.","ศ.","ส.","อา."))</f>
        <v/>
      </c>
      <c r="AG7" s="481">
        <f>IF('ปฏิทิน'!AG1="","",CHOOSE(WEEKDAY('ปฏิทิน'!AG1,2),"จ.","อ.","พ.","พฤ.","ศ.","ส.","อา."))</f>
        <v/>
      </c>
      <c r="AH7" s="481">
        <f>IF('ปฏิทิน'!AH1="","",CHOOSE(WEEKDAY('ปฏิทิน'!AH1,2),"จ.","อ.","พ.","พฤ.","ศ.","ส.","อา."))</f>
        <v/>
      </c>
      <c r="AI7" s="572" t="n"/>
      <c r="AL7" s="571">
        <f>IF('ปฏิทิน'!AL1="","",CHOOSE(WEEKDAY('ปฏิทิน'!AL1,2),"จ.","อ.","พ.","พฤ.","ศ.","ส.","อา."))</f>
        <v/>
      </c>
      <c r="AM7" s="481">
        <f>IF('ปฏิทิน'!AM1="","",CHOOSE(WEEKDAY('ปฏิทิน'!AM1,2),"จ.","อ.","พ.","พฤ.","ศ.","ส.","อา."))</f>
        <v/>
      </c>
      <c r="AN7" s="481">
        <f>IF('ปฏิทิน'!AN1="","",CHOOSE(WEEKDAY('ปฏิทิน'!AN1,2),"จ.","อ.","พ.","พฤ.","ศ.","ส.","อา."))</f>
        <v/>
      </c>
      <c r="AO7" s="481">
        <f>IF('ปฏิทิน'!AO1="","",CHOOSE(WEEKDAY('ปฏิทิน'!AO1,2),"จ.","อ.","พ.","พฤ.","ศ.","ส.","อา."))</f>
        <v/>
      </c>
      <c r="AP7" s="481">
        <f>IF('ปฏิทิน'!AP1="","",CHOOSE(WEEKDAY('ปฏิทิน'!AP1,2),"จ.","อ.","พ.","พฤ.","ศ.","ส.","อา."))</f>
        <v/>
      </c>
      <c r="AQ7" s="481">
        <f>IF('ปฏิทิน'!AQ1="","",CHOOSE(WEEKDAY('ปฏิทิน'!AQ1,2),"จ.","อ.","พ.","พฤ.","ศ.","ส.","อา."))</f>
        <v/>
      </c>
      <c r="AR7" s="481">
        <f>IF('ปฏิทิน'!AR1="","",CHOOSE(WEEKDAY('ปฏิทิน'!AR1,2),"จ.","อ.","พ.","พฤ.","ศ.","ส.","อา."))</f>
        <v/>
      </c>
      <c r="AS7" s="481">
        <f>IF('ปฏิทิน'!AS1="","",CHOOSE(WEEKDAY('ปฏิทิน'!AS1,2),"จ.","อ.","พ.","พฤ.","ศ.","ส.","อา."))</f>
        <v/>
      </c>
      <c r="AT7" s="481">
        <f>IF('ปฏิทิน'!AT1="","",CHOOSE(WEEKDAY('ปฏิทิน'!AT1,2),"จ.","อ.","พ.","พฤ.","ศ.","ส.","อา."))</f>
        <v/>
      </c>
      <c r="AU7" s="481">
        <f>IF('ปฏิทิน'!AU1="","",CHOOSE(WEEKDAY('ปฏิทิน'!AU1,2),"จ.","อ.","พ.","พฤ.","ศ.","ส.","อา."))</f>
        <v/>
      </c>
      <c r="AV7" s="481">
        <f>IF('ปฏิทิน'!AV1="","",CHOOSE(WEEKDAY('ปฏิทิน'!AV1,2),"จ.","อ.","พ.","พฤ.","ศ.","ส.","อา."))</f>
        <v/>
      </c>
      <c r="AW7" s="481">
        <f>IF('ปฏิทิน'!AW1="","",CHOOSE(WEEKDAY('ปฏิทิน'!AW1,2),"จ.","อ.","พ.","พฤ.","ศ.","ส.","อา."))</f>
        <v/>
      </c>
      <c r="AX7" s="481">
        <f>IF('ปฏิทิน'!AX1="","",CHOOSE(WEEKDAY('ปฏิทิน'!AX1,2),"จ.","อ.","พ.","พฤ.","ศ.","ส.","อา."))</f>
        <v/>
      </c>
      <c r="AY7" s="481">
        <f>IF('ปฏิทิน'!AY1="","",CHOOSE(WEEKDAY('ปฏิทิน'!AY1,2),"จ.","อ.","พ.","พฤ.","ศ.","ส.","อา."))</f>
        <v/>
      </c>
      <c r="AZ7" s="481">
        <f>IF('ปฏิทิน'!AZ1="","",CHOOSE(WEEKDAY('ปฏิทิน'!AZ1,2),"จ.","อ.","พ.","พฤ.","ศ.","ส.","อา."))</f>
        <v/>
      </c>
      <c r="BA7" s="481">
        <f>IF('ปฏิทิน'!BA1="","",CHOOSE(WEEKDAY('ปฏิทิน'!BA1,2),"จ.","อ.","พ.","พฤ.","ศ.","ส.","อา."))</f>
        <v/>
      </c>
      <c r="BB7" s="481">
        <f>IF('ปฏิทิน'!BB1="","",CHOOSE(WEEKDAY('ปฏิทิน'!BB1,2),"จ.","อ.","พ.","พฤ.","ศ.","ส.","อา."))</f>
        <v/>
      </c>
      <c r="BC7" s="481">
        <f>IF('ปฏิทิน'!BC1="","",CHOOSE(WEEKDAY('ปฏิทิน'!BC1,2),"จ.","อ.","พ.","พฤ.","ศ.","ส.","อา."))</f>
        <v/>
      </c>
      <c r="BD7" s="481">
        <f>IF('ปฏิทิน'!BD1="","",CHOOSE(WEEKDAY('ปฏิทิน'!BD1,2),"จ.","อ.","พ.","พฤ.","ศ.","ส.","อา."))</f>
        <v/>
      </c>
      <c r="BE7" s="481">
        <f>IF('ปฏิทิน'!BE1="","",CHOOSE(WEEKDAY('ปฏิทิน'!BE1,2),"จ.","อ.","พ.","พฤ.","ศ.","ส.","อา."))</f>
        <v/>
      </c>
      <c r="BF7" s="481">
        <f>IF('ปฏิทิน'!BF1="","",CHOOSE(WEEKDAY('ปฏิทิน'!BF1,2),"จ.","อ.","พ.","พฤ.","ศ.","ส.","อา."))</f>
        <v/>
      </c>
      <c r="BG7" s="481">
        <f>IF('ปฏิทิน'!BG1="","",CHOOSE(WEEKDAY('ปฏิทิน'!BG1,2),"จ.","อ.","พ.","พฤ.","ศ.","ส.","อา."))</f>
        <v/>
      </c>
      <c r="BH7" s="481">
        <f>IF('ปฏิทิน'!BH1="","",CHOOSE(WEEKDAY('ปฏิทิน'!BH1,2),"จ.","อ.","พ.","พฤ.","ศ.","ส.","อา."))</f>
        <v/>
      </c>
      <c r="BI7" s="481">
        <f>IF('ปฏิทิน'!BI1="","",CHOOSE(WEEKDAY('ปฏิทิน'!BI1,2),"จ.","อ.","พ.","พฤ.","ศ.","ส.","อา."))</f>
        <v/>
      </c>
      <c r="BJ7" s="481">
        <f>IF('ปฏิทิน'!BJ1="","",CHOOSE(WEEKDAY('ปฏิทิน'!BJ1,2),"จ.","อ.","พ.","พฤ.","ศ.","ส.","อา."))</f>
        <v/>
      </c>
      <c r="BK7" s="481">
        <f>IF('ปฏิทิน'!BK1="","",CHOOSE(WEEKDAY('ปฏิทิน'!BK1,2),"จ.","อ.","พ.","พฤ.","ศ.","ส.","อา."))</f>
        <v/>
      </c>
      <c r="BL7" s="481">
        <f>IF('ปฏิทิน'!BL1="","",CHOOSE(WEEKDAY('ปฏิทิน'!BL1,2),"จ.","อ.","พ.","พฤ.","ศ.","ส.","อา."))</f>
        <v/>
      </c>
      <c r="BM7" s="481">
        <f>IF('ปฏิทิน'!BM1="","",CHOOSE(WEEKDAY('ปฏิทิน'!BM1,2),"จ.","อ.","พ.","พฤ.","ศ.","ส.","อา."))</f>
        <v/>
      </c>
      <c r="BN7" s="481">
        <f>IF('ปฏิทิน'!BN1="","",CHOOSE(WEEKDAY('ปฏิทิน'!BN1,2),"จ.","อ.","พ.","พฤ.","ศ.","ส.","อา."))</f>
        <v/>
      </c>
      <c r="BO7" s="481">
        <f>IF('ปฏิทิน'!BO1="","",CHOOSE(WEEKDAY('ปฏิทิน'!BO1,2),"จ.","อ.","พ.","พฤ.","ศ.","ส.","อา."))</f>
        <v/>
      </c>
      <c r="BP7" s="481">
        <f>IF('ปฏิทิน'!BP1="","",CHOOSE(WEEKDAY('ปฏิทิน'!BP1,2),"จ.","อ.","พ.","พฤ.","ศ.","ส.","อา."))</f>
        <v/>
      </c>
      <c r="BQ7" s="572" t="n"/>
      <c r="BT7" s="571">
        <f>IF('ปฏิทิน'!BT1="","",CHOOSE(WEEKDAY('ปฏิทิน'!BT1,2),"จ.","อ.","พ.","พฤ.","ศ.","ส.","อา."))</f>
        <v/>
      </c>
      <c r="BU7" s="481">
        <f>IF('ปฏิทิน'!BU1="","",CHOOSE(WEEKDAY('ปฏิทิน'!BU1,2),"จ.","อ.","พ.","พฤ.","ศ.","ส.","อา."))</f>
        <v/>
      </c>
      <c r="BV7" s="481">
        <f>IF('ปฏิทิน'!BV1="","",CHOOSE(WEEKDAY('ปฏิทิน'!BV1,2),"จ.","อ.","พ.","พฤ.","ศ.","ส.","อา."))</f>
        <v/>
      </c>
      <c r="BW7" s="481">
        <f>IF('ปฏิทิน'!BW1="","",CHOOSE(WEEKDAY('ปฏิทิน'!BW1,2),"จ.","อ.","พ.","พฤ.","ศ.","ส.","อา."))</f>
        <v/>
      </c>
      <c r="BX7" s="481">
        <f>IF('ปฏิทิน'!BX1="","",CHOOSE(WEEKDAY('ปฏิทิน'!BX1,2),"จ.","อ.","พ.","พฤ.","ศ.","ส.","อา."))</f>
        <v/>
      </c>
      <c r="BY7" s="481">
        <f>IF('ปฏิทิน'!BY1="","",CHOOSE(WEEKDAY('ปฏิทิน'!BY1,2),"จ.","อ.","พ.","พฤ.","ศ.","ส.","อา."))</f>
        <v/>
      </c>
      <c r="BZ7" s="481">
        <f>IF('ปฏิทิน'!BZ1="","",CHOOSE(WEEKDAY('ปฏิทิน'!BZ1,2),"จ.","อ.","พ.","พฤ.","ศ.","ส.","อา."))</f>
        <v/>
      </c>
      <c r="CA7" s="481">
        <f>IF('ปฏิทิน'!CA1="","",CHOOSE(WEEKDAY('ปฏิทิน'!CA1,2),"จ.","อ.","พ.","พฤ.","ศ.","ส.","อา."))</f>
        <v/>
      </c>
      <c r="CB7" s="481">
        <f>IF('ปฏิทิน'!CB1="","",CHOOSE(WEEKDAY('ปฏิทิน'!CB1,2),"จ.","อ.","พ.","พฤ.","ศ.","ส.","อา."))</f>
        <v/>
      </c>
      <c r="CC7" s="481">
        <f>IF('ปฏิทิน'!CC1="","",CHOOSE(WEEKDAY('ปฏิทิน'!CC1,2),"จ.","อ.","พ.","พฤ.","ศ.","ส.","อา."))</f>
        <v/>
      </c>
      <c r="CD7" s="481">
        <f>IF('ปฏิทิน'!CD1="","",CHOOSE(WEEKDAY('ปฏิทิน'!CD1,2),"จ.","อ.","พ.","พฤ.","ศ.","ส.","อา."))</f>
        <v/>
      </c>
      <c r="CE7" s="481">
        <f>IF('ปฏิทิน'!CE1="","",CHOOSE(WEEKDAY('ปฏิทิน'!CE1,2),"จ.","อ.","พ.","พฤ.","ศ.","ส.","อา."))</f>
        <v/>
      </c>
      <c r="CF7" s="481">
        <f>IF('ปฏิทิน'!CF1="","",CHOOSE(WEEKDAY('ปฏิทิน'!CF1,2),"จ.","อ.","พ.","พฤ.","ศ.","ส.","อา."))</f>
        <v/>
      </c>
      <c r="CG7" s="481">
        <f>IF('ปฏิทิน'!CG1="","",CHOOSE(WEEKDAY('ปฏิทิน'!CG1,2),"จ.","อ.","พ.","พฤ.","ศ.","ส.","อา."))</f>
        <v/>
      </c>
      <c r="CH7" s="481">
        <f>IF('ปฏิทิน'!CH1="","",CHOOSE(WEEKDAY('ปฏิทิน'!CH1,2),"จ.","อ.","พ.","พฤ.","ศ.","ส.","อา."))</f>
        <v/>
      </c>
      <c r="CI7" s="481">
        <f>IF('ปฏิทิน'!CI1="","",CHOOSE(WEEKDAY('ปฏิทิน'!CI1,2),"จ.","อ.","พ.","พฤ.","ศ.","ส.","อา."))</f>
        <v/>
      </c>
      <c r="CJ7" s="481">
        <f>IF('ปฏิทิน'!CJ1="","",CHOOSE(WEEKDAY('ปฏิทิน'!CJ1,2),"จ.","อ.","พ.","พฤ.","ศ.","ส.","อา."))</f>
        <v/>
      </c>
      <c r="CK7" s="481">
        <f>IF('ปฏิทิน'!CK1="","",CHOOSE(WEEKDAY('ปฏิทิน'!CK1,2),"จ.","อ.","พ.","พฤ.","ศ.","ส.","อา."))</f>
        <v/>
      </c>
      <c r="CL7" s="481">
        <f>IF('ปฏิทิน'!CL1="","",CHOOSE(WEEKDAY('ปฏิทิน'!CL1,2),"จ.","อ.","พ.","พฤ.","ศ.","ส.","อา."))</f>
        <v/>
      </c>
      <c r="CM7" s="481">
        <f>IF('ปฏิทิน'!CM1="","",CHOOSE(WEEKDAY('ปฏิทิน'!CM1,2),"จ.","อ.","พ.","พฤ.","ศ.","ส.","อา."))</f>
        <v/>
      </c>
      <c r="CN7" s="481">
        <f>IF('ปฏิทิน'!CN1="","",CHOOSE(WEEKDAY('ปฏิทิน'!CN1,2),"จ.","อ.","พ.","พฤ.","ศ.","ส.","อา."))</f>
        <v/>
      </c>
      <c r="CO7" s="481">
        <f>IF('ปฏิทิน'!CO1="","",CHOOSE(WEEKDAY('ปฏิทิน'!CO1,2),"จ.","อ.","พ.","พฤ.","ศ.","ส.","อา."))</f>
        <v/>
      </c>
      <c r="CP7" s="481">
        <f>IF('ปฏิทิน'!CP1="","",CHOOSE(WEEKDAY('ปฏิทิน'!CP1,2),"จ.","อ.","พ.","พฤ.","ศ.","ส.","อา."))</f>
        <v/>
      </c>
      <c r="CQ7" s="481">
        <f>IF('ปฏิทิน'!CQ1="","",CHOOSE(WEEKDAY('ปฏิทิน'!CQ1,2),"จ.","อ.","พ.","พฤ.","ศ.","ส.","อา."))</f>
        <v/>
      </c>
      <c r="CR7" s="481">
        <f>IF('ปฏิทิน'!CR1="","",CHOOSE(WEEKDAY('ปฏิทิน'!CR1,2),"จ.","อ.","พ.","พฤ.","ศ.","ส.","อา."))</f>
        <v/>
      </c>
      <c r="CS7" s="481">
        <f>IF('ปฏิทิน'!CS1="","",CHOOSE(WEEKDAY('ปฏิทิน'!CS1,2),"จ.","อ.","พ.","พฤ.","ศ.","ส.","อา."))</f>
        <v/>
      </c>
      <c r="CT7" s="481">
        <f>IF('ปฏิทิน'!CT1="","",CHOOSE(WEEKDAY('ปฏิทิน'!CT1,2),"จ.","อ.","พ.","พฤ.","ศ.","ส.","อา."))</f>
        <v/>
      </c>
      <c r="CU7" s="481">
        <f>IF('ปฏิทิน'!CU1="","",CHOOSE(WEEKDAY('ปฏิทิน'!CU1,2),"จ.","อ.","พ.","พฤ.","ศ.","ส.","อา."))</f>
        <v/>
      </c>
      <c r="CV7" s="481">
        <f>IF('ปฏิทิน'!CV1="","",CHOOSE(WEEKDAY('ปฏิทิน'!CV1,2),"จ.","อ.","พ.","พฤ.","ศ.","ส.","อา."))</f>
        <v/>
      </c>
      <c r="CW7" s="481">
        <f>IF('ปฏิทิน'!CW1="","",CHOOSE(WEEKDAY('ปฏิทิน'!CW1,2),"จ.","อ.","พ.","พฤ.","ศ.","ส.","อา."))</f>
        <v/>
      </c>
      <c r="CX7" s="481">
        <f>IF('ปฏิทิน'!CX1="","",CHOOSE(WEEKDAY('ปฏิทิน'!CX1,2),"จ.","อ.","พ.","พฤ.","ศ.","ส.","อา."))</f>
        <v/>
      </c>
      <c r="CY7" s="572" t="n"/>
      <c r="DB7" s="571">
        <f>IF('ปฏิทิน'!DB1="","",CHOOSE(WEEKDAY('ปฏิทิน'!DB1,2),"จ.","อ.","พ.","พฤ.","ศ.","ส.","อา."))</f>
        <v/>
      </c>
      <c r="DC7" s="481">
        <f>IF('ปฏิทิน'!DC1="","",CHOOSE(WEEKDAY('ปฏิทิน'!DC1,2),"จ.","อ.","พ.","พฤ.","ศ.","ส.","อา."))</f>
        <v/>
      </c>
      <c r="DD7" s="481">
        <f>IF('ปฏิทิน'!DD1="","",CHOOSE(WEEKDAY('ปฏิทิน'!DD1,2),"จ.","อ.","พ.","พฤ.","ศ.","ส.","อา."))</f>
        <v/>
      </c>
      <c r="DE7" s="481">
        <f>IF('ปฏิทิน'!DE1="","",CHOOSE(WEEKDAY('ปฏิทิน'!DE1,2),"จ.","อ.","พ.","พฤ.","ศ.","ส.","อา."))</f>
        <v/>
      </c>
      <c r="DF7" s="481">
        <f>IF('ปฏิทิน'!DF1="","",CHOOSE(WEEKDAY('ปฏิทิน'!DF1,2),"จ.","อ.","พ.","พฤ.","ศ.","ส.","อา."))</f>
        <v/>
      </c>
      <c r="DG7" s="481">
        <f>IF('ปฏิทิน'!DG1="","",CHOOSE(WEEKDAY('ปฏิทิน'!DG1,2),"จ.","อ.","พ.","พฤ.","ศ.","ส.","อา."))</f>
        <v/>
      </c>
      <c r="DH7" s="481">
        <f>IF('ปฏิทิน'!DH1="","",CHOOSE(WEEKDAY('ปฏิทิน'!DH1,2),"จ.","อ.","พ.","พฤ.","ศ.","ส.","อา."))</f>
        <v/>
      </c>
      <c r="DI7" s="481">
        <f>IF('ปฏิทิน'!DI1="","",CHOOSE(WEEKDAY('ปฏิทิน'!DI1,2),"จ.","อ.","พ.","พฤ.","ศ.","ส.","อา."))</f>
        <v/>
      </c>
      <c r="DJ7" s="481">
        <f>IF('ปฏิทิน'!DJ1="","",CHOOSE(WEEKDAY('ปฏิทิน'!DJ1,2),"จ.","อ.","พ.","พฤ.","ศ.","ส.","อา."))</f>
        <v/>
      </c>
      <c r="DK7" s="481">
        <f>IF('ปฏิทิน'!DK1="","",CHOOSE(WEEKDAY('ปฏิทิน'!DK1,2),"จ.","อ.","พ.","พฤ.","ศ.","ส.","อา."))</f>
        <v/>
      </c>
      <c r="DL7" s="481">
        <f>IF('ปฏิทิน'!DL1="","",CHOOSE(WEEKDAY('ปฏิทิน'!DL1,2),"จ.","อ.","พ.","พฤ.","ศ.","ส.","อา."))</f>
        <v/>
      </c>
      <c r="DM7" s="481">
        <f>IF('ปฏิทิน'!DM1="","",CHOOSE(WEEKDAY('ปฏิทิน'!DM1,2),"จ.","อ.","พ.","พฤ.","ศ.","ส.","อา."))</f>
        <v/>
      </c>
      <c r="DN7" s="481">
        <f>IF('ปฏิทิน'!DN1="","",CHOOSE(WEEKDAY('ปฏิทิน'!DN1,2),"จ.","อ.","พ.","พฤ.","ศ.","ส.","อา."))</f>
        <v/>
      </c>
      <c r="DO7" s="481">
        <f>IF('ปฏิทิน'!DO1="","",CHOOSE(WEEKDAY('ปฏิทิน'!DO1,2),"จ.","อ.","พ.","พฤ.","ศ.","ส.","อา."))</f>
        <v/>
      </c>
      <c r="DP7" s="481">
        <f>IF('ปฏิทิน'!DP1="","",CHOOSE(WEEKDAY('ปฏิทิน'!DP1,2),"จ.","อ.","พ.","พฤ.","ศ.","ส.","อา."))</f>
        <v/>
      </c>
      <c r="DQ7" s="481">
        <f>IF('ปฏิทิน'!DQ1="","",CHOOSE(WEEKDAY('ปฏิทิน'!DQ1,2),"จ.","อ.","พ.","พฤ.","ศ.","ส.","อา."))</f>
        <v/>
      </c>
      <c r="DR7" s="481">
        <f>IF('ปฏิทิน'!DR1="","",CHOOSE(WEEKDAY('ปฏิทิน'!DR1,2),"จ.","อ.","พ.","พฤ.","ศ.","ส.","อา."))</f>
        <v/>
      </c>
      <c r="DS7" s="481">
        <f>IF('ปฏิทิน'!DS1="","",CHOOSE(WEEKDAY('ปฏิทิน'!DS1,2),"จ.","อ.","พ.","พฤ.","ศ.","ส.","อา."))</f>
        <v/>
      </c>
      <c r="DT7" s="481">
        <f>IF('ปฏิทิน'!DT1="","",CHOOSE(WEEKDAY('ปฏิทิน'!DT1,2),"จ.","อ.","พ.","พฤ.","ศ.","ส.","อา."))</f>
        <v/>
      </c>
      <c r="DU7" s="481">
        <f>IF('ปฏิทิน'!DU1="","",CHOOSE(WEEKDAY('ปฏิทิน'!DU1,2),"จ.","อ.","พ.","พฤ.","ศ.","ส.","อา."))</f>
        <v/>
      </c>
      <c r="DV7" s="481">
        <f>IF('ปฏิทิน'!DV1="","",CHOOSE(WEEKDAY('ปฏิทิน'!DV1,2),"จ.","อ.","พ.","พฤ.","ศ.","ส.","อา."))</f>
        <v/>
      </c>
      <c r="DW7" s="481">
        <f>IF('ปฏิทิน'!DW1="","",CHOOSE(WEEKDAY('ปฏิทิน'!DW1,2),"จ.","อ.","พ.","พฤ.","ศ.","ส.","อา."))</f>
        <v/>
      </c>
      <c r="DX7" s="481">
        <f>IF('ปฏิทิน'!DX1="","",CHOOSE(WEEKDAY('ปฏิทิน'!DX1,2),"จ.","อ.","พ.","พฤ.","ศ.","ส.","อา."))</f>
        <v/>
      </c>
      <c r="DY7" s="481">
        <f>IF('ปฏิทิน'!DY1="","",CHOOSE(WEEKDAY('ปฏิทิน'!DY1,2),"จ.","อ.","พ.","พฤ.","ศ.","ส.","อา."))</f>
        <v/>
      </c>
      <c r="DZ7" s="481">
        <f>IF('ปฏิทิน'!DZ1="","",CHOOSE(WEEKDAY('ปฏิทิน'!DZ1,2),"จ.","อ.","พ.","พฤ.","ศ.","ส.","อา."))</f>
        <v/>
      </c>
      <c r="EA7" s="481">
        <f>IF('ปฏิทิน'!EA1="","",CHOOSE(WEEKDAY('ปฏิทิน'!EA1,2),"จ.","อ.","พ.","พฤ.","ศ.","ส.","อา."))</f>
        <v/>
      </c>
      <c r="EB7" s="481">
        <f>IF('ปฏิทิน'!EB1="","",CHOOSE(WEEKDAY('ปฏิทิน'!EB1,2),"จ.","อ.","พ.","พฤ.","ศ.","ส.","อา."))</f>
        <v/>
      </c>
      <c r="EC7" s="481">
        <f>IF('ปฏิทิน'!EC1="","",CHOOSE(WEEKDAY('ปฏิทิน'!EC1,2),"จ.","อ.","พ.","พฤ.","ศ.","ส.","อา."))</f>
        <v/>
      </c>
      <c r="ED7" s="481">
        <f>IF('ปฏิทิน'!ED1="","",CHOOSE(WEEKDAY('ปฏิทิน'!ED1,2),"จ.","อ.","พ.","พฤ.","ศ.","ส.","อา."))</f>
        <v/>
      </c>
      <c r="EE7" s="481">
        <f>IF('ปฏิทิน'!EE1="","",CHOOSE(WEEKDAY('ปฏิทิน'!EE1,2),"จ.","อ.","พ.","พฤ.","ศ.","ส.","อา."))</f>
        <v/>
      </c>
      <c r="EF7" s="481">
        <f>IF('ปฏิทิน'!EF1="","",CHOOSE(WEEKDAY('ปฏิทิน'!EF1,2),"จ.","อ.","พ.","พฤ.","ศ.","ส.","อา."))</f>
        <v/>
      </c>
      <c r="EG7" s="572" t="n"/>
      <c r="EJ7" s="571">
        <f>IF('ปฏิทิน'!EJ1="","",CHOOSE(WEEKDAY('ปฏิทิน'!EJ1,2),"จ.","อ.","พ.","พฤ.","ศ.","ส.","อา."))</f>
        <v/>
      </c>
      <c r="EK7" s="481">
        <f>IF('ปฏิทิน'!EK1="","",CHOOSE(WEEKDAY('ปฏิทิน'!EK1,2),"จ.","อ.","พ.","พฤ.","ศ.","ส.","อา."))</f>
        <v/>
      </c>
      <c r="EL7" s="481">
        <f>IF('ปฏิทิน'!EL1="","",CHOOSE(WEEKDAY('ปฏิทิน'!EL1,2),"จ.","อ.","พ.","พฤ.","ศ.","ส.","อา."))</f>
        <v/>
      </c>
      <c r="EM7" s="481">
        <f>IF('ปฏิทิน'!EM1="","",CHOOSE(WEEKDAY('ปฏิทิน'!EM1,2),"จ.","อ.","พ.","พฤ.","ศ.","ส.","อา."))</f>
        <v/>
      </c>
      <c r="EN7" s="481">
        <f>IF('ปฏิทิน'!EN1="","",CHOOSE(WEEKDAY('ปฏิทิน'!EN1,2),"จ.","อ.","พ.","พฤ.","ศ.","ส.","อา."))</f>
        <v/>
      </c>
      <c r="EO7" s="481">
        <f>IF('ปฏิทิน'!EO1="","",CHOOSE(WEEKDAY('ปฏิทิน'!EO1,2),"จ.","อ.","พ.","พฤ.","ศ.","ส.","อา."))</f>
        <v/>
      </c>
      <c r="EP7" s="481">
        <f>IF('ปฏิทิน'!EP1="","",CHOOSE(WEEKDAY('ปฏิทิน'!EP1,2),"จ.","อ.","พ.","พฤ.","ศ.","ส.","อา."))</f>
        <v/>
      </c>
      <c r="EQ7" s="481">
        <f>IF('ปฏิทิน'!EQ1="","",CHOOSE(WEEKDAY('ปฏิทิน'!EQ1,2),"จ.","อ.","พ.","พฤ.","ศ.","ส.","อา."))</f>
        <v/>
      </c>
      <c r="ER7" s="481">
        <f>IF('ปฏิทิน'!ER1="","",CHOOSE(WEEKDAY('ปฏิทิน'!ER1,2),"จ.","อ.","พ.","พฤ.","ศ.","ส.","อา."))</f>
        <v/>
      </c>
      <c r="ES7" s="481">
        <f>IF('ปฏิทิน'!ES1="","",CHOOSE(WEEKDAY('ปฏิทิน'!ES1,2),"จ.","อ.","พ.","พฤ.","ศ.","ส.","อา."))</f>
        <v/>
      </c>
      <c r="ET7" s="481">
        <f>IF('ปฏิทิน'!ET1="","",CHOOSE(WEEKDAY('ปฏิทิน'!ET1,2),"จ.","อ.","พ.","พฤ.","ศ.","ส.","อา."))</f>
        <v/>
      </c>
      <c r="EU7" s="481">
        <f>IF('ปฏิทิน'!EU1="","",CHOOSE(WEEKDAY('ปฏิทิน'!EU1,2),"จ.","อ.","พ.","พฤ.","ศ.","ส.","อา."))</f>
        <v/>
      </c>
      <c r="EV7" s="481">
        <f>IF('ปฏิทิน'!EV1="","",CHOOSE(WEEKDAY('ปฏิทิน'!EV1,2),"จ.","อ.","พ.","พฤ.","ศ.","ส.","อา."))</f>
        <v/>
      </c>
      <c r="EW7" s="481">
        <f>IF('ปฏิทิน'!EW1="","",CHOOSE(WEEKDAY('ปฏิทิน'!EW1,2),"จ.","อ.","พ.","พฤ.","ศ.","ส.","อา."))</f>
        <v/>
      </c>
      <c r="EX7" s="481">
        <f>IF('ปฏิทิน'!EX1="","",CHOOSE(WEEKDAY('ปฏิทิน'!EX1,2),"จ.","อ.","พ.","พฤ.","ศ.","ส.","อา."))</f>
        <v/>
      </c>
      <c r="EY7" s="481">
        <f>IF('ปฏิทิน'!EY1="","",CHOOSE(WEEKDAY('ปฏิทิน'!EY1,2),"จ.","อ.","พ.","พฤ.","ศ.","ส.","อา."))</f>
        <v/>
      </c>
      <c r="EZ7" s="481">
        <f>IF('ปฏิทิน'!EZ1="","",CHOOSE(WEEKDAY('ปฏิทิน'!EZ1,2),"จ.","อ.","พ.","พฤ.","ศ.","ส.","อา."))</f>
        <v/>
      </c>
      <c r="FA7" s="481">
        <f>IF('ปฏิทิน'!FA1="","",CHOOSE(WEEKDAY('ปฏิทิน'!FA1,2),"จ.","อ.","พ.","พฤ.","ศ.","ส.","อา."))</f>
        <v/>
      </c>
      <c r="FB7" s="481">
        <f>IF('ปฏิทิน'!FB1="","",CHOOSE(WEEKDAY('ปฏิทิน'!FB1,2),"จ.","อ.","พ.","พฤ.","ศ.","ส.","อา."))</f>
        <v/>
      </c>
      <c r="FC7" s="481">
        <f>IF('ปฏิทิน'!FC1="","",CHOOSE(WEEKDAY('ปฏิทิน'!FC1,2),"จ.","อ.","พ.","พฤ.","ศ.","ส.","อา."))</f>
        <v/>
      </c>
      <c r="FD7" s="481">
        <f>IF('ปฏิทิน'!FD1="","",CHOOSE(WEEKDAY('ปฏิทิน'!FD1,2),"จ.","อ.","พ.","พฤ.","ศ.","ส.","อา."))</f>
        <v/>
      </c>
      <c r="FE7" s="481">
        <f>IF('ปฏิทิน'!FE1="","",CHOOSE(WEEKDAY('ปฏิทิน'!FE1,2),"จ.","อ.","พ.","พฤ.","ศ.","ส.","อา."))</f>
        <v/>
      </c>
      <c r="FF7" s="481">
        <f>IF('ปฏิทิน'!FF1="","",CHOOSE(WEEKDAY('ปฏิทิน'!FF1,2),"จ.","อ.","พ.","พฤ.","ศ.","ส.","อา."))</f>
        <v/>
      </c>
      <c r="FG7" s="481">
        <f>IF('ปฏิทิน'!FG1="","",CHOOSE(WEEKDAY('ปฏิทิน'!FG1,2),"จ.","อ.","พ.","พฤ.","ศ.","ส.","อา."))</f>
        <v/>
      </c>
      <c r="FH7" s="481">
        <f>IF('ปฏิทิน'!FH1="","",CHOOSE(WEEKDAY('ปฏิทิน'!FH1,2),"จ.","อ.","พ.","พฤ.","ศ.","ส.","อา."))</f>
        <v/>
      </c>
      <c r="FI7" s="481">
        <f>IF('ปฏิทิน'!FI1="","",CHOOSE(WEEKDAY('ปฏิทิน'!FI1,2),"จ.","อ.","พ.","พฤ.","ศ.","ส.","อา."))</f>
        <v/>
      </c>
      <c r="FJ7" s="481">
        <f>IF('ปฏิทิน'!FJ1="","",CHOOSE(WEEKDAY('ปฏิทิน'!FJ1,2),"จ.","อ.","พ.","พฤ.","ศ.","ส.","อา."))</f>
        <v/>
      </c>
      <c r="FK7" s="481">
        <f>IF('ปฏิทิน'!FK1="","",CHOOSE(WEEKDAY('ปฏิทิน'!FK1,2),"จ.","อ.","พ.","พฤ.","ศ.","ส.","อา."))</f>
        <v/>
      </c>
      <c r="FL7" s="481">
        <f>IF('ปฏิทิน'!FL1="","",CHOOSE(WEEKDAY('ปฏิทิน'!FL1,2),"จ.","อ.","พ.","พฤ.","ศ.","ส.","อา."))</f>
        <v/>
      </c>
      <c r="FM7" s="481">
        <f>IF('ปฏิทิน'!FM1="","",CHOOSE(WEEKDAY('ปฏิทิน'!FM1,2),"จ.","อ.","พ.","พฤ.","ศ.","ส.","อา."))</f>
        <v/>
      </c>
      <c r="FN7" s="481">
        <f>IF('ปฏิทิน'!FN1="","",CHOOSE(WEEKDAY('ปฏิทิน'!FN1,2),"จ.","อ.","พ.","พฤ.","ศ.","ส.","อา."))</f>
        <v/>
      </c>
      <c r="FO7" s="572" t="n"/>
      <c r="FR7" s="571">
        <f>IF('ปฏิทิน'!FR1="","",CHOOSE(WEEKDAY('ปฏิทิน'!FR1,2),"จ.","อ.","พ.","พฤ.","ศ.","ส.","อา."))</f>
        <v/>
      </c>
      <c r="FS7" s="481">
        <f>IF('ปฏิทิน'!FS1="","",CHOOSE(WEEKDAY('ปฏิทิน'!FS1,2),"จ.","อ.","พ.","พฤ.","ศ.","ส.","อา."))</f>
        <v/>
      </c>
      <c r="FT7" s="481">
        <f>IF('ปฏิทิน'!FT1="","",CHOOSE(WEEKDAY('ปฏิทิน'!FT1,2),"จ.","อ.","พ.","พฤ.","ศ.","ส.","อา."))</f>
        <v/>
      </c>
      <c r="FU7" s="481">
        <f>IF('ปฏิทิน'!FU1="","",CHOOSE(WEEKDAY('ปฏิทิน'!FU1,2),"จ.","อ.","พ.","พฤ.","ศ.","ส.","อา."))</f>
        <v/>
      </c>
      <c r="FV7" s="481">
        <f>IF('ปฏิทิน'!FV1="","",CHOOSE(WEEKDAY('ปฏิทิน'!FV1,2),"จ.","อ.","พ.","พฤ.","ศ.","ส.","อา."))</f>
        <v/>
      </c>
      <c r="FW7" s="481">
        <f>IF('ปฏิทิน'!FW1="","",CHOOSE(WEEKDAY('ปฏิทิน'!FW1,2),"จ.","อ.","พ.","พฤ.","ศ.","ส.","อา."))</f>
        <v/>
      </c>
      <c r="FX7" s="481">
        <f>IF('ปฏิทิน'!FX1="","",CHOOSE(WEEKDAY('ปฏิทิน'!FX1,2),"จ.","อ.","พ.","พฤ.","ศ.","ส.","อา."))</f>
        <v/>
      </c>
      <c r="FY7" s="481">
        <f>IF('ปฏิทิน'!FY1="","",CHOOSE(WEEKDAY('ปฏิทิน'!FY1,2),"จ.","อ.","พ.","พฤ.","ศ.","ส.","อา."))</f>
        <v/>
      </c>
      <c r="FZ7" s="481">
        <f>IF('ปฏิทิน'!FZ1="","",CHOOSE(WEEKDAY('ปฏิทิน'!FZ1,2),"จ.","อ.","พ.","พฤ.","ศ.","ส.","อา."))</f>
        <v/>
      </c>
      <c r="GA7" s="481">
        <f>IF('ปฏิทิน'!GA1="","",CHOOSE(WEEKDAY('ปฏิทิน'!GA1,2),"จ.","อ.","พ.","พฤ.","ศ.","ส.","อา."))</f>
        <v/>
      </c>
      <c r="GB7" s="481">
        <f>IF('ปฏิทิน'!GB1="","",CHOOSE(WEEKDAY('ปฏิทิน'!GB1,2),"จ.","อ.","พ.","พฤ.","ศ.","ส.","อา."))</f>
        <v/>
      </c>
      <c r="GC7" s="481">
        <f>IF('ปฏิทิน'!GC1="","",CHOOSE(WEEKDAY('ปฏิทิน'!GC1,2),"จ.","อ.","พ.","พฤ.","ศ.","ส.","อา."))</f>
        <v/>
      </c>
      <c r="GD7" s="481">
        <f>IF('ปฏิทิน'!GD1="","",CHOOSE(WEEKDAY('ปฏิทิน'!GD1,2),"จ.","อ.","พ.","พฤ.","ศ.","ส.","อา."))</f>
        <v/>
      </c>
      <c r="GE7" s="481">
        <f>IF('ปฏิทิน'!GE1="","",CHOOSE(WEEKDAY('ปฏิทิน'!GE1,2),"จ.","อ.","พ.","พฤ.","ศ.","ส.","อา."))</f>
        <v/>
      </c>
      <c r="GF7" s="481">
        <f>IF('ปฏิทิน'!GF1="","",CHOOSE(WEEKDAY('ปฏิทิน'!GF1,2),"จ.","อ.","พ.","พฤ.","ศ.","ส.","อา."))</f>
        <v/>
      </c>
      <c r="GG7" s="481">
        <f>IF('ปฏิทิน'!GG1="","",CHOOSE(WEEKDAY('ปฏิทิน'!GG1,2),"จ.","อ.","พ.","พฤ.","ศ.","ส.","อา."))</f>
        <v/>
      </c>
      <c r="GH7" s="481">
        <f>IF('ปฏิทิน'!GH1="","",CHOOSE(WEEKDAY('ปฏิทิน'!GH1,2),"จ.","อ.","พ.","พฤ.","ศ.","ส.","อา."))</f>
        <v/>
      </c>
      <c r="GI7" s="481">
        <f>IF('ปฏิทิน'!GI1="","",CHOOSE(WEEKDAY('ปฏิทิน'!GI1,2),"จ.","อ.","พ.","พฤ.","ศ.","ส.","อา."))</f>
        <v/>
      </c>
      <c r="GJ7" s="481">
        <f>IF('ปฏิทิน'!GJ1="","",CHOOSE(WEEKDAY('ปฏิทิน'!GJ1,2),"จ.","อ.","พ.","พฤ.","ศ.","ส.","อา."))</f>
        <v/>
      </c>
      <c r="GK7" s="481">
        <f>IF('ปฏิทิน'!GK1="","",CHOOSE(WEEKDAY('ปฏิทิน'!GK1,2),"จ.","อ.","พ.","พฤ.","ศ.","ส.","อา."))</f>
        <v/>
      </c>
      <c r="GL7" s="481">
        <f>IF('ปฏิทิน'!GL1="","",CHOOSE(WEEKDAY('ปฏิทิน'!GL1,2),"จ.","อ.","พ.","พฤ.","ศ.","ส.","อา."))</f>
        <v/>
      </c>
      <c r="GM7" s="481">
        <f>IF('ปฏิทิน'!GM1="","",CHOOSE(WEEKDAY('ปฏิทิน'!GM1,2),"จ.","อ.","พ.","พฤ.","ศ.","ส.","อา."))</f>
        <v/>
      </c>
      <c r="GN7" s="481">
        <f>IF('ปฏิทิน'!GN1="","",CHOOSE(WEEKDAY('ปฏิทิน'!GN1,2),"จ.","อ.","พ.","พฤ.","ศ.","ส.","อา."))</f>
        <v/>
      </c>
      <c r="GO7" s="481">
        <f>IF('ปฏิทิน'!GO1="","",CHOOSE(WEEKDAY('ปฏิทิน'!GO1,2),"จ.","อ.","พ.","พฤ.","ศ.","ส.","อา."))</f>
        <v/>
      </c>
      <c r="GP7" s="481">
        <f>IF('ปฏิทิน'!GP1="","",CHOOSE(WEEKDAY('ปฏิทิน'!GP1,2),"จ.","อ.","พ.","พฤ.","ศ.","ส.","อา."))</f>
        <v/>
      </c>
      <c r="GQ7" s="481">
        <f>IF('ปฏิทิน'!GQ1="","",CHOOSE(WEEKDAY('ปฏิทิน'!GQ1,2),"จ.","อ.","พ.","พฤ.","ศ.","ส.","อา."))</f>
        <v/>
      </c>
      <c r="GR7" s="481">
        <f>IF('ปฏิทิน'!GR1="","",CHOOSE(WEEKDAY('ปฏิทิน'!GR1,2),"จ.","อ.","พ.","พฤ.","ศ.","ส.","อา."))</f>
        <v/>
      </c>
      <c r="GS7" s="481">
        <f>IF('ปฏิทิน'!GS1="","",CHOOSE(WEEKDAY('ปฏิทิน'!GS1,2),"จ.","อ.","พ.","พฤ.","ศ.","ส.","อา."))</f>
        <v/>
      </c>
      <c r="GT7" s="481">
        <f>IF('ปฏิทิน'!GT1="","",CHOOSE(WEEKDAY('ปฏิทิน'!GT1,2),"จ.","อ.","พ.","พฤ.","ศ.","ส.","อา."))</f>
        <v/>
      </c>
      <c r="GU7" s="481">
        <f>IF('ปฏิทิน'!GU1="","",CHOOSE(WEEKDAY('ปฏิทิน'!GU1,2),"จ.","อ.","พ.","พฤ.","ศ.","ส.","อา."))</f>
        <v/>
      </c>
      <c r="GV7" s="481">
        <f>IF('ปฏิทิน'!GV1="","",CHOOSE(WEEKDAY('ปฏิทิน'!GV1,2),"จ.","อ.","พ.","พฤ.","ศ.","ส.","อา."))</f>
        <v/>
      </c>
      <c r="GW7" s="572" t="n"/>
    </row>
    <row r="8" ht="64" customHeight="1">
      <c r="D8" s="573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572" t="n"/>
      <c r="AL8" s="573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572" t="n"/>
      <c r="BT8" s="573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572" t="n"/>
      <c r="DB8" s="573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572" t="n"/>
      <c r="EJ8" s="573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572" t="n"/>
      <c r="FR8" s="573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572" t="n"/>
    </row>
    <row r="9">
      <c r="A9" s="218" t="n">
        <v>1</v>
      </c>
      <c r="B9" s="219">
        <f>'ข้อมูลนักเรียน'!T9</f>
        <v/>
      </c>
      <c r="C9" s="574">
        <f>IF(B9="","",IFERROR(COUNTIF(D9:GY9,"อ")/(COUNTIF(D9:GY9,"อ")+COUNTIF(D9:GY9,"ช")+COUNTIF(D9:GY9,"ร")+COUNTIF(D9:GY9,"ผ")),""))</f>
        <v/>
      </c>
      <c r="D9" s="57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76">
        <f>IF($B9="","",COUNTIF(D9:AH9,"อ"))</f>
        <v/>
      </c>
      <c r="AJ9" s="577">
        <f>IF($B9="","",COUNTIF(D9:AH9,"ช")+COUNTIF(D9:AH9,"ผ"))</f>
        <v/>
      </c>
      <c r="AK9" s="578">
        <f>IF($B9="","",COUNTIF(D9:AH9,"ร"))</f>
        <v/>
      </c>
      <c r="AL9" s="57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76">
        <f>IF($B9="","",COUNTIF(AL9:BP9,"อ"))</f>
        <v/>
      </c>
      <c r="BR9" s="577">
        <f>IF($B9="","",COUNTIF(AL9:BP9,"ช")+COUNTIF(AL9:BP9,"ผ"))</f>
        <v/>
      </c>
      <c r="BS9" s="578">
        <f>IF($B9="","",COUNTIF(AL9:BP9,"ร"))</f>
        <v/>
      </c>
      <c r="BT9" s="57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76">
        <f>IF($B9="","",COUNTIF(BT9:CX9,"อ"))</f>
        <v/>
      </c>
      <c r="CZ9" s="577">
        <f>IF($B9="","",COUNTIF(BT9:CX9,"ช")+COUNTIF(BT9:CX9,"ผ"))</f>
        <v/>
      </c>
      <c r="DA9" s="578">
        <f>IF($B9="","",COUNTIF(BT9:CX9,"ร"))</f>
        <v/>
      </c>
      <c r="DB9" s="57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76">
        <f>IF($B9="","",COUNTIF(DB9:EF9,"อ"))</f>
        <v/>
      </c>
      <c r="EH9" s="577">
        <f>IF($B9="","",COUNTIF(DB9:EF9,"ช")+COUNTIF(DB9:EF9,"ผ"))</f>
        <v/>
      </c>
      <c r="EI9" s="578">
        <f>IF($B9="","",COUNTIF(DB9:EF9,"ร"))</f>
        <v/>
      </c>
      <c r="EJ9" s="57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76">
        <f>IF($B9="","",COUNTIF(EJ9:FN9,"อ"))</f>
        <v/>
      </c>
      <c r="FP9" s="577">
        <f>IF($B9="","",COUNTIF(EJ9:FN9,"ช")+COUNTIF(EJ9:FN9,"ผ"))</f>
        <v/>
      </c>
      <c r="FQ9" s="578">
        <f>IF($B9="","",COUNTIF(EJ9:FN9,"ร"))</f>
        <v/>
      </c>
      <c r="FR9" s="575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576">
        <f>IF($B9="","",COUNTIF(FR9:GV9,"อ"))</f>
        <v/>
      </c>
      <c r="GX9" s="577">
        <f>IF($B9="","",COUNTIF(FR9:GV9,"ช")+COUNTIF(FR9:GV9,"ผ"))</f>
        <v/>
      </c>
      <c r="GY9" s="578">
        <f>IF($B9="","",COUNTIF(FR9:GV9,"ร"))</f>
        <v/>
      </c>
    </row>
    <row r="10">
      <c r="A10" s="226" t="n">
        <v>2</v>
      </c>
      <c r="B10" s="227">
        <f>'ข้อมูลนักเรียน'!T10</f>
        <v/>
      </c>
      <c r="C10" s="574">
        <f>IF(B10="","",IFERROR(COUNTIF(D10:GY10,"อ")/(COUNTIF(D10:GY10,"อ")+COUNTIF(D10:GY10,"ช")+COUNTIF(D10:GY10,"ร")+COUNTIF(D10:GY10,"ผ")),""))</f>
        <v/>
      </c>
      <c r="D10" s="57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76">
        <f>IF($B10="","",COUNTIF(D10:AH10,"อ"))</f>
        <v/>
      </c>
      <c r="AJ10" s="577">
        <f>IF($B10="","",COUNTIF(D10:AH10,"ช")+COUNTIF(D10:AH10,"ผ"))</f>
        <v/>
      </c>
      <c r="AK10" s="578">
        <f>IF($B10="","",COUNTIF(D10:AH10,"ร"))</f>
        <v/>
      </c>
      <c r="AL10" s="57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76">
        <f>IF($B10="","",COUNTIF(AL10:BP10,"อ"))</f>
        <v/>
      </c>
      <c r="BR10" s="577">
        <f>IF($B10="","",COUNTIF(AL10:BP10,"ช")+COUNTIF(AL10:BP10,"ผ"))</f>
        <v/>
      </c>
      <c r="BS10" s="578">
        <f>IF($B10="","",COUNTIF(AL10:BP10,"ร"))</f>
        <v/>
      </c>
      <c r="BT10" s="57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76">
        <f>IF($B10="","",COUNTIF(BT10:CX10,"อ"))</f>
        <v/>
      </c>
      <c r="CZ10" s="577">
        <f>IF($B10="","",COUNTIF(BT10:CX10,"ช")+COUNTIF(BT10:CX10,"ผ"))</f>
        <v/>
      </c>
      <c r="DA10" s="578">
        <f>IF($B10="","",COUNTIF(BT10:CX10,"ร"))</f>
        <v/>
      </c>
      <c r="DB10" s="57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76">
        <f>IF($B10="","",COUNTIF(DB10:EF10,"อ"))</f>
        <v/>
      </c>
      <c r="EH10" s="577">
        <f>IF($B10="","",COUNTIF(DB10:EF10,"ช")+COUNTIF(DB10:EF10,"ผ"))</f>
        <v/>
      </c>
      <c r="EI10" s="578">
        <f>IF($B10="","",COUNTIF(DB10:EF10,"ร"))</f>
        <v/>
      </c>
      <c r="EJ10" s="57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76">
        <f>IF($B10="","",COUNTIF(EJ10:FN10,"อ"))</f>
        <v/>
      </c>
      <c r="FP10" s="577">
        <f>IF($B10="","",COUNTIF(EJ10:FN10,"ช")+COUNTIF(EJ10:FN10,"ผ"))</f>
        <v/>
      </c>
      <c r="FQ10" s="578">
        <f>IF($B10="","",COUNTIF(EJ10:FN10,"ร"))</f>
        <v/>
      </c>
      <c r="FR10" s="575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576">
        <f>IF($B10="","",COUNTIF(FR10:GV10,"อ"))</f>
        <v/>
      </c>
      <c r="GX10" s="577">
        <f>IF($B10="","",COUNTIF(FR10:GV10,"ช")+COUNTIF(FR10:GV10,"ผ"))</f>
        <v/>
      </c>
      <c r="GY10" s="578">
        <f>IF($B10="","",COUNTIF(FR10:GV10,"ร"))</f>
        <v/>
      </c>
    </row>
    <row r="11">
      <c r="A11" s="218" t="n">
        <v>3</v>
      </c>
      <c r="B11" s="219">
        <f>'ข้อมูลนักเรียน'!T11</f>
        <v/>
      </c>
      <c r="C11" s="574">
        <f>IF(B11="","",IFERROR(COUNTIF(D11:GY11,"อ")/(COUNTIF(D11:GY11,"อ")+COUNTIF(D11:GY11,"ช")+COUNTIF(D11:GY11,"ร")+COUNTIF(D11:GY11,"ผ")),""))</f>
        <v/>
      </c>
      <c r="D11" s="57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76">
        <f>IF($B11="","",COUNTIF(D11:AH11,"อ"))</f>
        <v/>
      </c>
      <c r="AJ11" s="577">
        <f>IF($B11="","",COUNTIF(D11:AH11,"ช")+COUNTIF(D11:AH11,"ผ"))</f>
        <v/>
      </c>
      <c r="AK11" s="578">
        <f>IF($B11="","",COUNTIF(D11:AH11,"ร"))</f>
        <v/>
      </c>
      <c r="AL11" s="57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76">
        <f>IF($B11="","",COUNTIF(AL11:BP11,"อ"))</f>
        <v/>
      </c>
      <c r="BR11" s="577">
        <f>IF($B11="","",COUNTIF(AL11:BP11,"ช")+COUNTIF(AL11:BP11,"ผ"))</f>
        <v/>
      </c>
      <c r="BS11" s="578">
        <f>IF($B11="","",COUNTIF(AL11:BP11,"ร"))</f>
        <v/>
      </c>
      <c r="BT11" s="57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76">
        <f>IF($B11="","",COUNTIF(BT11:CX11,"อ"))</f>
        <v/>
      </c>
      <c r="CZ11" s="577">
        <f>IF($B11="","",COUNTIF(BT11:CX11,"ช")+COUNTIF(BT11:CX11,"ผ"))</f>
        <v/>
      </c>
      <c r="DA11" s="578">
        <f>IF($B11="","",COUNTIF(BT11:CX11,"ร"))</f>
        <v/>
      </c>
      <c r="DB11" s="57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76">
        <f>IF($B11="","",COUNTIF(DB11:EF11,"อ"))</f>
        <v/>
      </c>
      <c r="EH11" s="577">
        <f>IF($B11="","",COUNTIF(DB11:EF11,"ช")+COUNTIF(DB11:EF11,"ผ"))</f>
        <v/>
      </c>
      <c r="EI11" s="578">
        <f>IF($B11="","",COUNTIF(DB11:EF11,"ร"))</f>
        <v/>
      </c>
      <c r="EJ11" s="57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76">
        <f>IF($B11="","",COUNTIF(EJ11:FN11,"อ"))</f>
        <v/>
      </c>
      <c r="FP11" s="577">
        <f>IF($B11="","",COUNTIF(EJ11:FN11,"ช")+COUNTIF(EJ11:FN11,"ผ"))</f>
        <v/>
      </c>
      <c r="FQ11" s="578">
        <f>IF($B11="","",COUNTIF(EJ11:FN11,"ร"))</f>
        <v/>
      </c>
      <c r="FR11" s="575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576">
        <f>IF($B11="","",COUNTIF(FR11:GV11,"อ"))</f>
        <v/>
      </c>
      <c r="GX11" s="577">
        <f>IF($B11="","",COUNTIF(FR11:GV11,"ช")+COUNTIF(FR11:GV11,"ผ"))</f>
        <v/>
      </c>
      <c r="GY11" s="578">
        <f>IF($B11="","",COUNTIF(FR11:GV11,"ร"))</f>
        <v/>
      </c>
    </row>
    <row r="12">
      <c r="A12" s="226" t="n">
        <v>4</v>
      </c>
      <c r="B12" s="227">
        <f>'ข้อมูลนักเรียน'!T12</f>
        <v/>
      </c>
      <c r="C12" s="574">
        <f>IF(B12="","",IFERROR(COUNTIF(D12:GY12,"อ")/(COUNTIF(D12:GY12,"อ")+COUNTIF(D12:GY12,"ช")+COUNTIF(D12:GY12,"ร")+COUNTIF(D12:GY12,"ผ")),""))</f>
        <v/>
      </c>
      <c r="D12" s="57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76">
        <f>IF($B12="","",COUNTIF(D12:AH12,"อ"))</f>
        <v/>
      </c>
      <c r="AJ12" s="577">
        <f>IF($B12="","",COUNTIF(D12:AH12,"ช")+COUNTIF(D12:AH12,"ผ"))</f>
        <v/>
      </c>
      <c r="AK12" s="578">
        <f>IF($B12="","",COUNTIF(D12:AH12,"ร"))</f>
        <v/>
      </c>
      <c r="AL12" s="57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76">
        <f>IF($B12="","",COUNTIF(AL12:BP12,"อ"))</f>
        <v/>
      </c>
      <c r="BR12" s="577">
        <f>IF($B12="","",COUNTIF(AL12:BP12,"ช")+COUNTIF(AL12:BP12,"ผ"))</f>
        <v/>
      </c>
      <c r="BS12" s="578">
        <f>IF($B12="","",COUNTIF(AL12:BP12,"ร"))</f>
        <v/>
      </c>
      <c r="BT12" s="57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76">
        <f>IF($B12="","",COUNTIF(BT12:CX12,"อ"))</f>
        <v/>
      </c>
      <c r="CZ12" s="577">
        <f>IF($B12="","",COUNTIF(BT12:CX12,"ช")+COUNTIF(BT12:CX12,"ผ"))</f>
        <v/>
      </c>
      <c r="DA12" s="578">
        <f>IF($B12="","",COUNTIF(BT12:CX12,"ร"))</f>
        <v/>
      </c>
      <c r="DB12" s="57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76">
        <f>IF($B12="","",COUNTIF(DB12:EF12,"อ"))</f>
        <v/>
      </c>
      <c r="EH12" s="577">
        <f>IF($B12="","",COUNTIF(DB12:EF12,"ช")+COUNTIF(DB12:EF12,"ผ"))</f>
        <v/>
      </c>
      <c r="EI12" s="578">
        <f>IF($B12="","",COUNTIF(DB12:EF12,"ร"))</f>
        <v/>
      </c>
      <c r="EJ12" s="57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76">
        <f>IF($B12="","",COUNTIF(EJ12:FN12,"อ"))</f>
        <v/>
      </c>
      <c r="FP12" s="577">
        <f>IF($B12="","",COUNTIF(EJ12:FN12,"ช")+COUNTIF(EJ12:FN12,"ผ"))</f>
        <v/>
      </c>
      <c r="FQ12" s="578">
        <f>IF($B12="","",COUNTIF(EJ12:FN12,"ร"))</f>
        <v/>
      </c>
      <c r="FR12" s="575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576">
        <f>IF($B12="","",COUNTIF(FR12:GV12,"อ"))</f>
        <v/>
      </c>
      <c r="GX12" s="577">
        <f>IF($B12="","",COUNTIF(FR12:GV12,"ช")+COUNTIF(FR12:GV12,"ผ"))</f>
        <v/>
      </c>
      <c r="GY12" s="578">
        <f>IF($B12="","",COUNTIF(FR12:GV12,"ร"))</f>
        <v/>
      </c>
    </row>
    <row r="13">
      <c r="A13" s="218" t="n">
        <v>5</v>
      </c>
      <c r="B13" s="219">
        <f>'ข้อมูลนักเรียน'!T13</f>
        <v/>
      </c>
      <c r="C13" s="574">
        <f>IF(B13="","",IFERROR(COUNTIF(D13:GY13,"อ")/(COUNTIF(D13:GY13,"อ")+COUNTIF(D13:GY13,"ช")+COUNTIF(D13:GY13,"ร")+COUNTIF(D13:GY13,"ผ")),""))</f>
        <v/>
      </c>
      <c r="D13" s="57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76">
        <f>IF($B13="","",COUNTIF(D13:AH13,"อ"))</f>
        <v/>
      </c>
      <c r="AJ13" s="577">
        <f>IF($B13="","",COUNTIF(D13:AH13,"ช")+COUNTIF(D13:AH13,"ผ"))</f>
        <v/>
      </c>
      <c r="AK13" s="578">
        <f>IF($B13="","",COUNTIF(D13:AH13,"ร"))</f>
        <v/>
      </c>
      <c r="AL13" s="57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76">
        <f>IF($B13="","",COUNTIF(AL13:BP13,"อ"))</f>
        <v/>
      </c>
      <c r="BR13" s="577">
        <f>IF($B13="","",COUNTIF(AL13:BP13,"ช")+COUNTIF(AL13:BP13,"ผ"))</f>
        <v/>
      </c>
      <c r="BS13" s="578">
        <f>IF($B13="","",COUNTIF(AL13:BP13,"ร"))</f>
        <v/>
      </c>
      <c r="BT13" s="57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76">
        <f>IF($B13="","",COUNTIF(BT13:CX13,"อ"))</f>
        <v/>
      </c>
      <c r="CZ13" s="577">
        <f>IF($B13="","",COUNTIF(BT13:CX13,"ช")+COUNTIF(BT13:CX13,"ผ"))</f>
        <v/>
      </c>
      <c r="DA13" s="578">
        <f>IF($B13="","",COUNTIF(BT13:CX13,"ร"))</f>
        <v/>
      </c>
      <c r="DB13" s="57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76">
        <f>IF($B13="","",COUNTIF(DB13:EF13,"อ"))</f>
        <v/>
      </c>
      <c r="EH13" s="577">
        <f>IF($B13="","",COUNTIF(DB13:EF13,"ช")+COUNTIF(DB13:EF13,"ผ"))</f>
        <v/>
      </c>
      <c r="EI13" s="578">
        <f>IF($B13="","",COUNTIF(DB13:EF13,"ร"))</f>
        <v/>
      </c>
      <c r="EJ13" s="57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76">
        <f>IF($B13="","",COUNTIF(EJ13:FN13,"อ"))</f>
        <v/>
      </c>
      <c r="FP13" s="577">
        <f>IF($B13="","",COUNTIF(EJ13:FN13,"ช")+COUNTIF(EJ13:FN13,"ผ"))</f>
        <v/>
      </c>
      <c r="FQ13" s="578">
        <f>IF($B13="","",COUNTIF(EJ13:FN13,"ร"))</f>
        <v/>
      </c>
      <c r="FR13" s="575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576">
        <f>IF($B13="","",COUNTIF(FR13:GV13,"อ"))</f>
        <v/>
      </c>
      <c r="GX13" s="577">
        <f>IF($B13="","",COUNTIF(FR13:GV13,"ช")+COUNTIF(FR13:GV13,"ผ"))</f>
        <v/>
      </c>
      <c r="GY13" s="578">
        <f>IF($B13="","",COUNTIF(FR13:GV13,"ร"))</f>
        <v/>
      </c>
    </row>
    <row r="14">
      <c r="A14" s="579" t="inlineStr">
        <is>
          <t>ทำเองได้ (คน)</t>
        </is>
      </c>
      <c r="B14" s="184" t="n"/>
      <c r="C14" s="184" t="n"/>
      <c r="D14" s="580">
        <f>IF(D$4&lt;&gt;1,"",COUNTIF(D9:D13,"อ"))</f>
        <v/>
      </c>
      <c r="E14" s="581">
        <f>IF(E$4&lt;&gt;1,"",COUNTIF(E9:E13,"อ"))</f>
        <v/>
      </c>
      <c r="F14" s="581">
        <f>IF(F$4&lt;&gt;1,"",COUNTIF(F9:F13,"อ"))</f>
        <v/>
      </c>
      <c r="G14" s="581">
        <f>IF(G$4&lt;&gt;1,"",COUNTIF(G9:G13,"อ"))</f>
        <v/>
      </c>
      <c r="H14" s="581">
        <f>IF(H$4&lt;&gt;1,"",COUNTIF(H9:H13,"อ"))</f>
        <v/>
      </c>
      <c r="I14" s="581">
        <f>IF(I$4&lt;&gt;1,"",COUNTIF(I9:I13,"อ"))</f>
        <v/>
      </c>
      <c r="J14" s="581">
        <f>IF(J$4&lt;&gt;1,"",COUNTIF(J9:J13,"อ"))</f>
        <v/>
      </c>
      <c r="K14" s="581">
        <f>IF(K$4&lt;&gt;1,"",COUNTIF(K9:K13,"อ"))</f>
        <v/>
      </c>
      <c r="L14" s="581">
        <f>IF(L$4&lt;&gt;1,"",COUNTIF(L9:L13,"อ"))</f>
        <v/>
      </c>
      <c r="M14" s="581">
        <f>IF(M$4&lt;&gt;1,"",COUNTIF(M9:M13,"อ"))</f>
        <v/>
      </c>
      <c r="N14" s="581">
        <f>IF(N$4&lt;&gt;1,"",COUNTIF(N9:N13,"อ"))</f>
        <v/>
      </c>
      <c r="O14" s="581">
        <f>IF(O$4&lt;&gt;1,"",COUNTIF(O9:O13,"อ"))</f>
        <v/>
      </c>
      <c r="P14" s="581">
        <f>IF(P$4&lt;&gt;1,"",COUNTIF(P9:P13,"อ"))</f>
        <v/>
      </c>
      <c r="Q14" s="581">
        <f>IF(Q$4&lt;&gt;1,"",COUNTIF(Q9:Q13,"อ"))</f>
        <v/>
      </c>
      <c r="R14" s="581">
        <f>IF(R$4&lt;&gt;1,"",COUNTIF(R9:R13,"อ"))</f>
        <v/>
      </c>
      <c r="S14" s="581">
        <f>IF(S$4&lt;&gt;1,"",COUNTIF(S9:S13,"อ"))</f>
        <v/>
      </c>
      <c r="T14" s="581">
        <f>IF(T$4&lt;&gt;1,"",COUNTIF(T9:T13,"อ"))</f>
        <v/>
      </c>
      <c r="U14" s="581">
        <f>IF(U$4&lt;&gt;1,"",COUNTIF(U9:U13,"อ"))</f>
        <v/>
      </c>
      <c r="V14" s="581">
        <f>IF(V$4&lt;&gt;1,"",COUNTIF(V9:V13,"อ"))</f>
        <v/>
      </c>
      <c r="W14" s="581">
        <f>IF(W$4&lt;&gt;1,"",COUNTIF(W9:W13,"อ"))</f>
        <v/>
      </c>
      <c r="X14" s="581">
        <f>IF(X$4&lt;&gt;1,"",COUNTIF(X9:X13,"อ"))</f>
        <v/>
      </c>
      <c r="Y14" s="581">
        <f>IF(Y$4&lt;&gt;1,"",COUNTIF(Y9:Y13,"อ"))</f>
        <v/>
      </c>
      <c r="Z14" s="581">
        <f>IF(Z$4&lt;&gt;1,"",COUNTIF(Z9:Z13,"อ"))</f>
        <v/>
      </c>
      <c r="AA14" s="581">
        <f>IF(AA$4&lt;&gt;1,"",COUNTIF(AA9:AA13,"อ"))</f>
        <v/>
      </c>
      <c r="AB14" s="581">
        <f>IF(AB$4&lt;&gt;1,"",COUNTIF(AB9:AB13,"อ"))</f>
        <v/>
      </c>
      <c r="AC14" s="581">
        <f>IF(AC$4&lt;&gt;1,"",COUNTIF(AC9:AC13,"อ"))</f>
        <v/>
      </c>
      <c r="AD14" s="581">
        <f>IF(AD$4&lt;&gt;1,"",COUNTIF(AD9:AD13,"อ"))</f>
        <v/>
      </c>
      <c r="AE14" s="581">
        <f>IF(AE$4&lt;&gt;1,"",COUNTIF(AE9:AE13,"อ"))</f>
        <v/>
      </c>
      <c r="AF14" s="581">
        <f>IF(AF$4&lt;&gt;1,"",COUNTIF(AF9:AF13,"อ"))</f>
        <v/>
      </c>
      <c r="AG14" s="581">
        <f>IF(AG$4&lt;&gt;1,"",COUNTIF(AG9:AG13,"อ"))</f>
        <v/>
      </c>
      <c r="AH14" s="581">
        <f>IF(AH$4&lt;&gt;1,"",COUNTIF(AH9:AH13,"อ"))</f>
        <v/>
      </c>
      <c r="AI14" s="582">
        <f>SUM(AI9:AI13)</f>
        <v/>
      </c>
      <c r="AJ14" s="583">
        <f>SUM(AJ9:AJ13)</f>
        <v/>
      </c>
      <c r="AK14" s="584">
        <f>SUM(AK9:AK13)</f>
        <v/>
      </c>
      <c r="AL14" s="580">
        <f>IF(AL$4&lt;&gt;1,"",COUNTIF(AL9:AL13,"อ"))</f>
        <v/>
      </c>
      <c r="AM14" s="581">
        <f>IF(AM$4&lt;&gt;1,"",COUNTIF(AM9:AM13,"อ"))</f>
        <v/>
      </c>
      <c r="AN14" s="581">
        <f>IF(AN$4&lt;&gt;1,"",COUNTIF(AN9:AN13,"อ"))</f>
        <v/>
      </c>
      <c r="AO14" s="581">
        <f>IF(AO$4&lt;&gt;1,"",COUNTIF(AO9:AO13,"อ"))</f>
        <v/>
      </c>
      <c r="AP14" s="581">
        <f>IF(AP$4&lt;&gt;1,"",COUNTIF(AP9:AP13,"อ"))</f>
        <v/>
      </c>
      <c r="AQ14" s="581">
        <f>IF(AQ$4&lt;&gt;1,"",COUNTIF(AQ9:AQ13,"อ"))</f>
        <v/>
      </c>
      <c r="AR14" s="581">
        <f>IF(AR$4&lt;&gt;1,"",COUNTIF(AR9:AR13,"อ"))</f>
        <v/>
      </c>
      <c r="AS14" s="581">
        <f>IF(AS$4&lt;&gt;1,"",COUNTIF(AS9:AS13,"อ"))</f>
        <v/>
      </c>
      <c r="AT14" s="581">
        <f>IF(AT$4&lt;&gt;1,"",COUNTIF(AT9:AT13,"อ"))</f>
        <v/>
      </c>
      <c r="AU14" s="581">
        <f>IF(AU$4&lt;&gt;1,"",COUNTIF(AU9:AU13,"อ"))</f>
        <v/>
      </c>
      <c r="AV14" s="581">
        <f>IF(AV$4&lt;&gt;1,"",COUNTIF(AV9:AV13,"อ"))</f>
        <v/>
      </c>
      <c r="AW14" s="581">
        <f>IF(AW$4&lt;&gt;1,"",COUNTIF(AW9:AW13,"อ"))</f>
        <v/>
      </c>
      <c r="AX14" s="581">
        <f>IF(AX$4&lt;&gt;1,"",COUNTIF(AX9:AX13,"อ"))</f>
        <v/>
      </c>
      <c r="AY14" s="581">
        <f>IF(AY$4&lt;&gt;1,"",COUNTIF(AY9:AY13,"อ"))</f>
        <v/>
      </c>
      <c r="AZ14" s="581">
        <f>IF(AZ$4&lt;&gt;1,"",COUNTIF(AZ9:AZ13,"อ"))</f>
        <v/>
      </c>
      <c r="BA14" s="581">
        <f>IF(BA$4&lt;&gt;1,"",COUNTIF(BA9:BA13,"อ"))</f>
        <v/>
      </c>
      <c r="BB14" s="581">
        <f>IF(BB$4&lt;&gt;1,"",COUNTIF(BB9:BB13,"อ"))</f>
        <v/>
      </c>
      <c r="BC14" s="581">
        <f>IF(BC$4&lt;&gt;1,"",COUNTIF(BC9:BC13,"อ"))</f>
        <v/>
      </c>
      <c r="BD14" s="581">
        <f>IF(BD$4&lt;&gt;1,"",COUNTIF(BD9:BD13,"อ"))</f>
        <v/>
      </c>
      <c r="BE14" s="581">
        <f>IF(BE$4&lt;&gt;1,"",COUNTIF(BE9:BE13,"อ"))</f>
        <v/>
      </c>
      <c r="BF14" s="581">
        <f>IF(BF$4&lt;&gt;1,"",COUNTIF(BF9:BF13,"อ"))</f>
        <v/>
      </c>
      <c r="BG14" s="581">
        <f>IF(BG$4&lt;&gt;1,"",COUNTIF(BG9:BG13,"อ"))</f>
        <v/>
      </c>
      <c r="BH14" s="581">
        <f>IF(BH$4&lt;&gt;1,"",COUNTIF(BH9:BH13,"อ"))</f>
        <v/>
      </c>
      <c r="BI14" s="581">
        <f>IF(BI$4&lt;&gt;1,"",COUNTIF(BI9:BI13,"อ"))</f>
        <v/>
      </c>
      <c r="BJ14" s="581">
        <f>IF(BJ$4&lt;&gt;1,"",COUNTIF(BJ9:BJ13,"อ"))</f>
        <v/>
      </c>
      <c r="BK14" s="581">
        <f>IF(BK$4&lt;&gt;1,"",COUNTIF(BK9:BK13,"อ"))</f>
        <v/>
      </c>
      <c r="BL14" s="581">
        <f>IF(BL$4&lt;&gt;1,"",COUNTIF(BL9:BL13,"อ"))</f>
        <v/>
      </c>
      <c r="BM14" s="581">
        <f>IF(BM$4&lt;&gt;1,"",COUNTIF(BM9:BM13,"อ"))</f>
        <v/>
      </c>
      <c r="BN14" s="581">
        <f>IF(BN$4&lt;&gt;1,"",COUNTIF(BN9:BN13,"อ"))</f>
        <v/>
      </c>
      <c r="BO14" s="581">
        <f>IF(BO$4&lt;&gt;1,"",COUNTIF(BO9:BO13,"อ"))</f>
        <v/>
      </c>
      <c r="BP14" s="581">
        <f>IF(BP$4&lt;&gt;1,"",COUNTIF(BP9:BP13,"อ"))</f>
        <v/>
      </c>
      <c r="BQ14" s="582">
        <f>SUM(BQ9:BQ13)</f>
        <v/>
      </c>
      <c r="BR14" s="583">
        <f>SUM(BR9:BR13)</f>
        <v/>
      </c>
      <c r="BS14" s="584">
        <f>SUM(BS9:BS13)</f>
        <v/>
      </c>
      <c r="BT14" s="580">
        <f>IF(BT$4&lt;&gt;1,"",COUNTIF(BT9:BT13,"อ"))</f>
        <v/>
      </c>
      <c r="BU14" s="581">
        <f>IF(BU$4&lt;&gt;1,"",COUNTIF(BU9:BU13,"อ"))</f>
        <v/>
      </c>
      <c r="BV14" s="581">
        <f>IF(BV$4&lt;&gt;1,"",COUNTIF(BV9:BV13,"อ"))</f>
        <v/>
      </c>
      <c r="BW14" s="581">
        <f>IF(BW$4&lt;&gt;1,"",COUNTIF(BW9:BW13,"อ"))</f>
        <v/>
      </c>
      <c r="BX14" s="581">
        <f>IF(BX$4&lt;&gt;1,"",COUNTIF(BX9:BX13,"อ"))</f>
        <v/>
      </c>
      <c r="BY14" s="581">
        <f>IF(BY$4&lt;&gt;1,"",COUNTIF(BY9:BY13,"อ"))</f>
        <v/>
      </c>
      <c r="BZ14" s="581">
        <f>IF(BZ$4&lt;&gt;1,"",COUNTIF(BZ9:BZ13,"อ"))</f>
        <v/>
      </c>
      <c r="CA14" s="581">
        <f>IF(CA$4&lt;&gt;1,"",COUNTIF(CA9:CA13,"อ"))</f>
        <v/>
      </c>
      <c r="CB14" s="581">
        <f>IF(CB$4&lt;&gt;1,"",COUNTIF(CB9:CB13,"อ"))</f>
        <v/>
      </c>
      <c r="CC14" s="581">
        <f>IF(CC$4&lt;&gt;1,"",COUNTIF(CC9:CC13,"อ"))</f>
        <v/>
      </c>
      <c r="CD14" s="581">
        <f>IF(CD$4&lt;&gt;1,"",COUNTIF(CD9:CD13,"อ"))</f>
        <v/>
      </c>
      <c r="CE14" s="581">
        <f>IF(CE$4&lt;&gt;1,"",COUNTIF(CE9:CE13,"อ"))</f>
        <v/>
      </c>
      <c r="CF14" s="581">
        <f>IF(CF$4&lt;&gt;1,"",COUNTIF(CF9:CF13,"อ"))</f>
        <v/>
      </c>
      <c r="CG14" s="581">
        <f>IF(CG$4&lt;&gt;1,"",COUNTIF(CG9:CG13,"อ"))</f>
        <v/>
      </c>
      <c r="CH14" s="581">
        <f>IF(CH$4&lt;&gt;1,"",COUNTIF(CH9:CH13,"อ"))</f>
        <v/>
      </c>
      <c r="CI14" s="581">
        <f>IF(CI$4&lt;&gt;1,"",COUNTIF(CI9:CI13,"อ"))</f>
        <v/>
      </c>
      <c r="CJ14" s="581">
        <f>IF(CJ$4&lt;&gt;1,"",COUNTIF(CJ9:CJ13,"อ"))</f>
        <v/>
      </c>
      <c r="CK14" s="581">
        <f>IF(CK$4&lt;&gt;1,"",COUNTIF(CK9:CK13,"อ"))</f>
        <v/>
      </c>
      <c r="CL14" s="581">
        <f>IF(CL$4&lt;&gt;1,"",COUNTIF(CL9:CL13,"อ"))</f>
        <v/>
      </c>
      <c r="CM14" s="581">
        <f>IF(CM$4&lt;&gt;1,"",COUNTIF(CM9:CM13,"อ"))</f>
        <v/>
      </c>
      <c r="CN14" s="581">
        <f>IF(CN$4&lt;&gt;1,"",COUNTIF(CN9:CN13,"อ"))</f>
        <v/>
      </c>
      <c r="CO14" s="581">
        <f>IF(CO$4&lt;&gt;1,"",COUNTIF(CO9:CO13,"อ"))</f>
        <v/>
      </c>
      <c r="CP14" s="581">
        <f>IF(CP$4&lt;&gt;1,"",COUNTIF(CP9:CP13,"อ"))</f>
        <v/>
      </c>
      <c r="CQ14" s="581">
        <f>IF(CQ$4&lt;&gt;1,"",COUNTIF(CQ9:CQ13,"อ"))</f>
        <v/>
      </c>
      <c r="CR14" s="581">
        <f>IF(CR$4&lt;&gt;1,"",COUNTIF(CR9:CR13,"อ"))</f>
        <v/>
      </c>
      <c r="CS14" s="581">
        <f>IF(CS$4&lt;&gt;1,"",COUNTIF(CS9:CS13,"อ"))</f>
        <v/>
      </c>
      <c r="CT14" s="581">
        <f>IF(CT$4&lt;&gt;1,"",COUNTIF(CT9:CT13,"อ"))</f>
        <v/>
      </c>
      <c r="CU14" s="581">
        <f>IF(CU$4&lt;&gt;1,"",COUNTIF(CU9:CU13,"อ"))</f>
        <v/>
      </c>
      <c r="CV14" s="581">
        <f>IF(CV$4&lt;&gt;1,"",COUNTIF(CV9:CV13,"อ"))</f>
        <v/>
      </c>
      <c r="CW14" s="581">
        <f>IF(CW$4&lt;&gt;1,"",COUNTIF(CW9:CW13,"อ"))</f>
        <v/>
      </c>
      <c r="CX14" s="581">
        <f>IF(CX$4&lt;&gt;1,"",COUNTIF(CX9:CX13,"อ"))</f>
        <v/>
      </c>
      <c r="CY14" s="582">
        <f>SUM(CY9:CY13)</f>
        <v/>
      </c>
      <c r="CZ14" s="583">
        <f>SUM(CZ9:CZ13)</f>
        <v/>
      </c>
      <c r="DA14" s="584">
        <f>SUM(DA9:DA13)</f>
        <v/>
      </c>
      <c r="DB14" s="580">
        <f>IF(DB$4&lt;&gt;1,"",COUNTIF(DB9:DB13,"อ"))</f>
        <v/>
      </c>
      <c r="DC14" s="581">
        <f>IF(DC$4&lt;&gt;1,"",COUNTIF(DC9:DC13,"อ"))</f>
        <v/>
      </c>
      <c r="DD14" s="581">
        <f>IF(DD$4&lt;&gt;1,"",COUNTIF(DD9:DD13,"อ"))</f>
        <v/>
      </c>
      <c r="DE14" s="581">
        <f>IF(DE$4&lt;&gt;1,"",COUNTIF(DE9:DE13,"อ"))</f>
        <v/>
      </c>
      <c r="DF14" s="581">
        <f>IF(DF$4&lt;&gt;1,"",COUNTIF(DF9:DF13,"อ"))</f>
        <v/>
      </c>
      <c r="DG14" s="581">
        <f>IF(DG$4&lt;&gt;1,"",COUNTIF(DG9:DG13,"อ"))</f>
        <v/>
      </c>
      <c r="DH14" s="581">
        <f>IF(DH$4&lt;&gt;1,"",COUNTIF(DH9:DH13,"อ"))</f>
        <v/>
      </c>
      <c r="DI14" s="581">
        <f>IF(DI$4&lt;&gt;1,"",COUNTIF(DI9:DI13,"อ"))</f>
        <v/>
      </c>
      <c r="DJ14" s="581">
        <f>IF(DJ$4&lt;&gt;1,"",COUNTIF(DJ9:DJ13,"อ"))</f>
        <v/>
      </c>
      <c r="DK14" s="581">
        <f>IF(DK$4&lt;&gt;1,"",COUNTIF(DK9:DK13,"อ"))</f>
        <v/>
      </c>
      <c r="DL14" s="581">
        <f>IF(DL$4&lt;&gt;1,"",COUNTIF(DL9:DL13,"อ"))</f>
        <v/>
      </c>
      <c r="DM14" s="581">
        <f>IF(DM$4&lt;&gt;1,"",COUNTIF(DM9:DM13,"อ"))</f>
        <v/>
      </c>
      <c r="DN14" s="581">
        <f>IF(DN$4&lt;&gt;1,"",COUNTIF(DN9:DN13,"อ"))</f>
        <v/>
      </c>
      <c r="DO14" s="581">
        <f>IF(DO$4&lt;&gt;1,"",COUNTIF(DO9:DO13,"อ"))</f>
        <v/>
      </c>
      <c r="DP14" s="581">
        <f>IF(DP$4&lt;&gt;1,"",COUNTIF(DP9:DP13,"อ"))</f>
        <v/>
      </c>
      <c r="DQ14" s="581">
        <f>IF(DQ$4&lt;&gt;1,"",COUNTIF(DQ9:DQ13,"อ"))</f>
        <v/>
      </c>
      <c r="DR14" s="581">
        <f>IF(DR$4&lt;&gt;1,"",COUNTIF(DR9:DR13,"อ"))</f>
        <v/>
      </c>
      <c r="DS14" s="581">
        <f>IF(DS$4&lt;&gt;1,"",COUNTIF(DS9:DS13,"อ"))</f>
        <v/>
      </c>
      <c r="DT14" s="581">
        <f>IF(DT$4&lt;&gt;1,"",COUNTIF(DT9:DT13,"อ"))</f>
        <v/>
      </c>
      <c r="DU14" s="581">
        <f>IF(DU$4&lt;&gt;1,"",COUNTIF(DU9:DU13,"อ"))</f>
        <v/>
      </c>
      <c r="DV14" s="581">
        <f>IF(DV$4&lt;&gt;1,"",COUNTIF(DV9:DV13,"อ"))</f>
        <v/>
      </c>
      <c r="DW14" s="581">
        <f>IF(DW$4&lt;&gt;1,"",COUNTIF(DW9:DW13,"อ"))</f>
        <v/>
      </c>
      <c r="DX14" s="581">
        <f>IF(DX$4&lt;&gt;1,"",COUNTIF(DX9:DX13,"อ"))</f>
        <v/>
      </c>
      <c r="DY14" s="581">
        <f>IF(DY$4&lt;&gt;1,"",COUNTIF(DY9:DY13,"อ"))</f>
        <v/>
      </c>
      <c r="DZ14" s="581">
        <f>IF(DZ$4&lt;&gt;1,"",COUNTIF(DZ9:DZ13,"อ"))</f>
        <v/>
      </c>
      <c r="EA14" s="581">
        <f>IF(EA$4&lt;&gt;1,"",COUNTIF(EA9:EA13,"อ"))</f>
        <v/>
      </c>
      <c r="EB14" s="581">
        <f>IF(EB$4&lt;&gt;1,"",COUNTIF(EB9:EB13,"อ"))</f>
        <v/>
      </c>
      <c r="EC14" s="581">
        <f>IF(EC$4&lt;&gt;1,"",COUNTIF(EC9:EC13,"อ"))</f>
        <v/>
      </c>
      <c r="ED14" s="581">
        <f>IF(ED$4&lt;&gt;1,"",COUNTIF(ED9:ED13,"อ"))</f>
        <v/>
      </c>
      <c r="EE14" s="581">
        <f>IF(EE$4&lt;&gt;1,"",COUNTIF(EE9:EE13,"อ"))</f>
        <v/>
      </c>
      <c r="EF14" s="581">
        <f>IF(EF$4&lt;&gt;1,"",COUNTIF(EF9:EF13,"อ"))</f>
        <v/>
      </c>
      <c r="EG14" s="582">
        <f>SUM(EG9:EG13)</f>
        <v/>
      </c>
      <c r="EH14" s="583">
        <f>SUM(EH9:EH13)</f>
        <v/>
      </c>
      <c r="EI14" s="584">
        <f>SUM(EI9:EI13)</f>
        <v/>
      </c>
      <c r="EJ14" s="580">
        <f>IF(EJ$4&lt;&gt;1,"",COUNTIF(EJ9:EJ13,"อ"))</f>
        <v/>
      </c>
      <c r="EK14" s="581">
        <f>IF(EK$4&lt;&gt;1,"",COUNTIF(EK9:EK13,"อ"))</f>
        <v/>
      </c>
      <c r="EL14" s="581">
        <f>IF(EL$4&lt;&gt;1,"",COUNTIF(EL9:EL13,"อ"))</f>
        <v/>
      </c>
      <c r="EM14" s="581">
        <f>IF(EM$4&lt;&gt;1,"",COUNTIF(EM9:EM13,"อ"))</f>
        <v/>
      </c>
      <c r="EN14" s="581">
        <f>IF(EN$4&lt;&gt;1,"",COUNTIF(EN9:EN13,"อ"))</f>
        <v/>
      </c>
      <c r="EO14" s="581">
        <f>IF(EO$4&lt;&gt;1,"",COUNTIF(EO9:EO13,"อ"))</f>
        <v/>
      </c>
      <c r="EP14" s="581">
        <f>IF(EP$4&lt;&gt;1,"",COUNTIF(EP9:EP13,"อ"))</f>
        <v/>
      </c>
      <c r="EQ14" s="581">
        <f>IF(EQ$4&lt;&gt;1,"",COUNTIF(EQ9:EQ13,"อ"))</f>
        <v/>
      </c>
      <c r="ER14" s="581">
        <f>IF(ER$4&lt;&gt;1,"",COUNTIF(ER9:ER13,"อ"))</f>
        <v/>
      </c>
      <c r="ES14" s="581">
        <f>IF(ES$4&lt;&gt;1,"",COUNTIF(ES9:ES13,"อ"))</f>
        <v/>
      </c>
      <c r="ET14" s="581">
        <f>IF(ET$4&lt;&gt;1,"",COUNTIF(ET9:ET13,"อ"))</f>
        <v/>
      </c>
      <c r="EU14" s="581">
        <f>IF(EU$4&lt;&gt;1,"",COUNTIF(EU9:EU13,"อ"))</f>
        <v/>
      </c>
      <c r="EV14" s="581">
        <f>IF(EV$4&lt;&gt;1,"",COUNTIF(EV9:EV13,"อ"))</f>
        <v/>
      </c>
      <c r="EW14" s="581">
        <f>IF(EW$4&lt;&gt;1,"",COUNTIF(EW9:EW13,"อ"))</f>
        <v/>
      </c>
      <c r="EX14" s="581">
        <f>IF(EX$4&lt;&gt;1,"",COUNTIF(EX9:EX13,"อ"))</f>
        <v/>
      </c>
      <c r="EY14" s="581">
        <f>IF(EY$4&lt;&gt;1,"",COUNTIF(EY9:EY13,"อ"))</f>
        <v/>
      </c>
      <c r="EZ14" s="581">
        <f>IF(EZ$4&lt;&gt;1,"",COUNTIF(EZ9:EZ13,"อ"))</f>
        <v/>
      </c>
      <c r="FA14" s="581">
        <f>IF(FA$4&lt;&gt;1,"",COUNTIF(FA9:FA13,"อ"))</f>
        <v/>
      </c>
      <c r="FB14" s="581">
        <f>IF(FB$4&lt;&gt;1,"",COUNTIF(FB9:FB13,"อ"))</f>
        <v/>
      </c>
      <c r="FC14" s="581">
        <f>IF(FC$4&lt;&gt;1,"",COUNTIF(FC9:FC13,"อ"))</f>
        <v/>
      </c>
      <c r="FD14" s="581">
        <f>IF(FD$4&lt;&gt;1,"",COUNTIF(FD9:FD13,"อ"))</f>
        <v/>
      </c>
      <c r="FE14" s="581">
        <f>IF(FE$4&lt;&gt;1,"",COUNTIF(FE9:FE13,"อ"))</f>
        <v/>
      </c>
      <c r="FF14" s="581">
        <f>IF(FF$4&lt;&gt;1,"",COUNTIF(FF9:FF13,"อ"))</f>
        <v/>
      </c>
      <c r="FG14" s="581">
        <f>IF(FG$4&lt;&gt;1,"",COUNTIF(FG9:FG13,"อ"))</f>
        <v/>
      </c>
      <c r="FH14" s="581">
        <f>IF(FH$4&lt;&gt;1,"",COUNTIF(FH9:FH13,"อ"))</f>
        <v/>
      </c>
      <c r="FI14" s="581">
        <f>IF(FI$4&lt;&gt;1,"",COUNTIF(FI9:FI13,"อ"))</f>
        <v/>
      </c>
      <c r="FJ14" s="581">
        <f>IF(FJ$4&lt;&gt;1,"",COUNTIF(FJ9:FJ13,"อ"))</f>
        <v/>
      </c>
      <c r="FK14" s="581">
        <f>IF(FK$4&lt;&gt;1,"",COUNTIF(FK9:FK13,"อ"))</f>
        <v/>
      </c>
      <c r="FL14" s="581">
        <f>IF(FL$4&lt;&gt;1,"",COUNTIF(FL9:FL13,"อ"))</f>
        <v/>
      </c>
      <c r="FM14" s="581">
        <f>IF(FM$4&lt;&gt;1,"",COUNTIF(FM9:FM13,"อ"))</f>
        <v/>
      </c>
      <c r="FN14" s="581">
        <f>IF(FN$4&lt;&gt;1,"",COUNTIF(FN9:FN13,"อ"))</f>
        <v/>
      </c>
      <c r="FO14" s="582">
        <f>SUM(FO9:FO13)</f>
        <v/>
      </c>
      <c r="FP14" s="583">
        <f>SUM(FP9:FP13)</f>
        <v/>
      </c>
      <c r="FQ14" s="584">
        <f>SUM(FQ9:FQ13)</f>
        <v/>
      </c>
      <c r="FR14" s="580">
        <f>IF(FR$4&lt;&gt;1,"",COUNTIF(FR9:FR13,"อ"))</f>
        <v/>
      </c>
      <c r="FS14" s="581">
        <f>IF(FS$4&lt;&gt;1,"",COUNTIF(FS9:FS13,"อ"))</f>
        <v/>
      </c>
      <c r="FT14" s="581">
        <f>IF(FT$4&lt;&gt;1,"",COUNTIF(FT9:FT13,"อ"))</f>
        <v/>
      </c>
      <c r="FU14" s="581">
        <f>IF(FU$4&lt;&gt;1,"",COUNTIF(FU9:FU13,"อ"))</f>
        <v/>
      </c>
      <c r="FV14" s="581">
        <f>IF(FV$4&lt;&gt;1,"",COUNTIF(FV9:FV13,"อ"))</f>
        <v/>
      </c>
      <c r="FW14" s="581">
        <f>IF(FW$4&lt;&gt;1,"",COUNTIF(FW9:FW13,"อ"))</f>
        <v/>
      </c>
      <c r="FX14" s="581">
        <f>IF(FX$4&lt;&gt;1,"",COUNTIF(FX9:FX13,"อ"))</f>
        <v/>
      </c>
      <c r="FY14" s="581">
        <f>IF(FY$4&lt;&gt;1,"",COUNTIF(FY9:FY13,"อ"))</f>
        <v/>
      </c>
      <c r="FZ14" s="581">
        <f>IF(FZ$4&lt;&gt;1,"",COUNTIF(FZ9:FZ13,"อ"))</f>
        <v/>
      </c>
      <c r="GA14" s="581">
        <f>IF(GA$4&lt;&gt;1,"",COUNTIF(GA9:GA13,"อ"))</f>
        <v/>
      </c>
      <c r="GB14" s="581">
        <f>IF(GB$4&lt;&gt;1,"",COUNTIF(GB9:GB13,"อ"))</f>
        <v/>
      </c>
      <c r="GC14" s="581">
        <f>IF(GC$4&lt;&gt;1,"",COUNTIF(GC9:GC13,"อ"))</f>
        <v/>
      </c>
      <c r="GD14" s="581">
        <f>IF(GD$4&lt;&gt;1,"",COUNTIF(GD9:GD13,"อ"))</f>
        <v/>
      </c>
      <c r="GE14" s="581">
        <f>IF(GE$4&lt;&gt;1,"",COUNTIF(GE9:GE13,"อ"))</f>
        <v/>
      </c>
      <c r="GF14" s="581">
        <f>IF(GF$4&lt;&gt;1,"",COUNTIF(GF9:GF13,"อ"))</f>
        <v/>
      </c>
      <c r="GG14" s="581">
        <f>IF(GG$4&lt;&gt;1,"",COUNTIF(GG9:GG13,"อ"))</f>
        <v/>
      </c>
      <c r="GH14" s="581">
        <f>IF(GH$4&lt;&gt;1,"",COUNTIF(GH9:GH13,"อ"))</f>
        <v/>
      </c>
      <c r="GI14" s="581">
        <f>IF(GI$4&lt;&gt;1,"",COUNTIF(GI9:GI13,"อ"))</f>
        <v/>
      </c>
      <c r="GJ14" s="581">
        <f>IF(GJ$4&lt;&gt;1,"",COUNTIF(GJ9:GJ13,"อ"))</f>
        <v/>
      </c>
      <c r="GK14" s="581">
        <f>IF(GK$4&lt;&gt;1,"",COUNTIF(GK9:GK13,"อ"))</f>
        <v/>
      </c>
      <c r="GL14" s="581">
        <f>IF(GL$4&lt;&gt;1,"",COUNTIF(GL9:GL13,"อ"))</f>
        <v/>
      </c>
      <c r="GM14" s="581">
        <f>IF(GM$4&lt;&gt;1,"",COUNTIF(GM9:GM13,"อ"))</f>
        <v/>
      </c>
      <c r="GN14" s="581">
        <f>IF(GN$4&lt;&gt;1,"",COUNTIF(GN9:GN13,"อ"))</f>
        <v/>
      </c>
      <c r="GO14" s="581">
        <f>IF(GO$4&lt;&gt;1,"",COUNTIF(GO9:GO13,"อ"))</f>
        <v/>
      </c>
      <c r="GP14" s="581">
        <f>IF(GP$4&lt;&gt;1,"",COUNTIF(GP9:GP13,"อ"))</f>
        <v/>
      </c>
      <c r="GQ14" s="581">
        <f>IF(GQ$4&lt;&gt;1,"",COUNTIF(GQ9:GQ13,"อ"))</f>
        <v/>
      </c>
      <c r="GR14" s="581">
        <f>IF(GR$4&lt;&gt;1,"",COUNTIF(GR9:GR13,"อ"))</f>
        <v/>
      </c>
      <c r="GS14" s="581">
        <f>IF(GS$4&lt;&gt;1,"",COUNTIF(GS9:GS13,"อ"))</f>
        <v/>
      </c>
      <c r="GT14" s="581">
        <f>IF(GT$4&lt;&gt;1,"",COUNTIF(GT9:GT13,"อ"))</f>
        <v/>
      </c>
      <c r="GU14" s="581">
        <f>IF(GU$4&lt;&gt;1,"",COUNTIF(GU9:GU13,"อ"))</f>
        <v/>
      </c>
      <c r="GV14" s="581">
        <f>IF(GV$4&lt;&gt;1,"",COUNTIF(GV9:GV13,"อ"))</f>
        <v/>
      </c>
      <c r="GW14" s="582">
        <f>SUM(GW9:GW13)</f>
        <v/>
      </c>
      <c r="GX14" s="583">
        <f>SUM(GX9:GX13)</f>
        <v/>
      </c>
      <c r="GY14" s="584">
        <f>SUM(GY9:GY13)</f>
        <v/>
      </c>
    </row>
    <row r="15">
      <c r="A15" s="579" t="inlineStr">
        <is>
          <t>ช่วยเหลือ / ผ้าอ้อม (คน)</t>
        </is>
      </c>
      <c r="B15" s="184" t="n"/>
      <c r="C15" s="184" t="n"/>
      <c r="D15" s="580">
        <f>IF(D$4&lt;&gt;1,"",COUNTIF(D9:D13,"ช")+COUNTIF(D9:D13,"ผ"))</f>
        <v/>
      </c>
      <c r="E15" s="581">
        <f>IF(E$4&lt;&gt;1,"",COUNTIF(E9:E13,"ช")+COUNTIF(E9:E13,"ผ"))</f>
        <v/>
      </c>
      <c r="F15" s="581">
        <f>IF(F$4&lt;&gt;1,"",COUNTIF(F9:F13,"ช")+COUNTIF(F9:F13,"ผ"))</f>
        <v/>
      </c>
      <c r="G15" s="581">
        <f>IF(G$4&lt;&gt;1,"",COUNTIF(G9:G13,"ช")+COUNTIF(G9:G13,"ผ"))</f>
        <v/>
      </c>
      <c r="H15" s="581">
        <f>IF(H$4&lt;&gt;1,"",COUNTIF(H9:H13,"ช")+COUNTIF(H9:H13,"ผ"))</f>
        <v/>
      </c>
      <c r="I15" s="581">
        <f>IF(I$4&lt;&gt;1,"",COUNTIF(I9:I13,"ช")+COUNTIF(I9:I13,"ผ"))</f>
        <v/>
      </c>
      <c r="J15" s="581">
        <f>IF(J$4&lt;&gt;1,"",COUNTIF(J9:J13,"ช")+COUNTIF(J9:J13,"ผ"))</f>
        <v/>
      </c>
      <c r="K15" s="581">
        <f>IF(K$4&lt;&gt;1,"",COUNTIF(K9:K13,"ช")+COUNTIF(K9:K13,"ผ"))</f>
        <v/>
      </c>
      <c r="L15" s="581">
        <f>IF(L$4&lt;&gt;1,"",COUNTIF(L9:L13,"ช")+COUNTIF(L9:L13,"ผ"))</f>
        <v/>
      </c>
      <c r="M15" s="581">
        <f>IF(M$4&lt;&gt;1,"",COUNTIF(M9:M13,"ช")+COUNTIF(M9:M13,"ผ"))</f>
        <v/>
      </c>
      <c r="N15" s="581">
        <f>IF(N$4&lt;&gt;1,"",COUNTIF(N9:N13,"ช")+COUNTIF(N9:N13,"ผ"))</f>
        <v/>
      </c>
      <c r="O15" s="581">
        <f>IF(O$4&lt;&gt;1,"",COUNTIF(O9:O13,"ช")+COUNTIF(O9:O13,"ผ"))</f>
        <v/>
      </c>
      <c r="P15" s="581">
        <f>IF(P$4&lt;&gt;1,"",COUNTIF(P9:P13,"ช")+COUNTIF(P9:P13,"ผ"))</f>
        <v/>
      </c>
      <c r="Q15" s="581">
        <f>IF(Q$4&lt;&gt;1,"",COUNTIF(Q9:Q13,"ช")+COUNTIF(Q9:Q13,"ผ"))</f>
        <v/>
      </c>
      <c r="R15" s="581">
        <f>IF(R$4&lt;&gt;1,"",COUNTIF(R9:R13,"ช")+COUNTIF(R9:R13,"ผ"))</f>
        <v/>
      </c>
      <c r="S15" s="581">
        <f>IF(S$4&lt;&gt;1,"",COUNTIF(S9:S13,"ช")+COUNTIF(S9:S13,"ผ"))</f>
        <v/>
      </c>
      <c r="T15" s="581">
        <f>IF(T$4&lt;&gt;1,"",COUNTIF(T9:T13,"ช")+COUNTIF(T9:T13,"ผ"))</f>
        <v/>
      </c>
      <c r="U15" s="581">
        <f>IF(U$4&lt;&gt;1,"",COUNTIF(U9:U13,"ช")+COUNTIF(U9:U13,"ผ"))</f>
        <v/>
      </c>
      <c r="V15" s="581">
        <f>IF(V$4&lt;&gt;1,"",COUNTIF(V9:V13,"ช")+COUNTIF(V9:V13,"ผ"))</f>
        <v/>
      </c>
      <c r="W15" s="581">
        <f>IF(W$4&lt;&gt;1,"",COUNTIF(W9:W13,"ช")+COUNTIF(W9:W13,"ผ"))</f>
        <v/>
      </c>
      <c r="X15" s="581">
        <f>IF(X$4&lt;&gt;1,"",COUNTIF(X9:X13,"ช")+COUNTIF(X9:X13,"ผ"))</f>
        <v/>
      </c>
      <c r="Y15" s="581">
        <f>IF(Y$4&lt;&gt;1,"",COUNTIF(Y9:Y13,"ช")+COUNTIF(Y9:Y13,"ผ"))</f>
        <v/>
      </c>
      <c r="Z15" s="581">
        <f>IF(Z$4&lt;&gt;1,"",COUNTIF(Z9:Z13,"ช")+COUNTIF(Z9:Z13,"ผ"))</f>
        <v/>
      </c>
      <c r="AA15" s="581">
        <f>IF(AA$4&lt;&gt;1,"",COUNTIF(AA9:AA13,"ช")+COUNTIF(AA9:AA13,"ผ"))</f>
        <v/>
      </c>
      <c r="AB15" s="581">
        <f>IF(AB$4&lt;&gt;1,"",COUNTIF(AB9:AB13,"ช")+COUNTIF(AB9:AB13,"ผ"))</f>
        <v/>
      </c>
      <c r="AC15" s="581">
        <f>IF(AC$4&lt;&gt;1,"",COUNTIF(AC9:AC13,"ช")+COUNTIF(AC9:AC13,"ผ"))</f>
        <v/>
      </c>
      <c r="AD15" s="581">
        <f>IF(AD$4&lt;&gt;1,"",COUNTIF(AD9:AD13,"ช")+COUNTIF(AD9:AD13,"ผ"))</f>
        <v/>
      </c>
      <c r="AE15" s="581">
        <f>IF(AE$4&lt;&gt;1,"",COUNTIF(AE9:AE13,"ช")+COUNTIF(AE9:AE13,"ผ"))</f>
        <v/>
      </c>
      <c r="AF15" s="581">
        <f>IF(AF$4&lt;&gt;1,"",COUNTIF(AF9:AF13,"ช")+COUNTIF(AF9:AF13,"ผ"))</f>
        <v/>
      </c>
      <c r="AG15" s="581">
        <f>IF(AG$4&lt;&gt;1,"",COUNTIF(AG9:AG13,"ช")+COUNTIF(AG9:AG13,"ผ"))</f>
        <v/>
      </c>
      <c r="AH15" s="581">
        <f>IF(AH$4&lt;&gt;1,"",COUNTIF(AH9:AH13,"ช")+COUNTIF(AH9:AH13,"ผ"))</f>
        <v/>
      </c>
      <c r="AI15" s="582" t="n"/>
      <c r="AJ15" s="583" t="n"/>
      <c r="AK15" s="584" t="n"/>
      <c r="AL15" s="580">
        <f>IF(AL$4&lt;&gt;1,"",COUNTIF(AL9:AL13,"ช")+COUNTIF(AL9:AL13,"ผ"))</f>
        <v/>
      </c>
      <c r="AM15" s="581">
        <f>IF(AM$4&lt;&gt;1,"",COUNTIF(AM9:AM13,"ช")+COUNTIF(AM9:AM13,"ผ"))</f>
        <v/>
      </c>
      <c r="AN15" s="581">
        <f>IF(AN$4&lt;&gt;1,"",COUNTIF(AN9:AN13,"ช")+COUNTIF(AN9:AN13,"ผ"))</f>
        <v/>
      </c>
      <c r="AO15" s="581">
        <f>IF(AO$4&lt;&gt;1,"",COUNTIF(AO9:AO13,"ช")+COUNTIF(AO9:AO13,"ผ"))</f>
        <v/>
      </c>
      <c r="AP15" s="581">
        <f>IF(AP$4&lt;&gt;1,"",COUNTIF(AP9:AP13,"ช")+COUNTIF(AP9:AP13,"ผ"))</f>
        <v/>
      </c>
      <c r="AQ15" s="581">
        <f>IF(AQ$4&lt;&gt;1,"",COUNTIF(AQ9:AQ13,"ช")+COUNTIF(AQ9:AQ13,"ผ"))</f>
        <v/>
      </c>
      <c r="AR15" s="581">
        <f>IF(AR$4&lt;&gt;1,"",COUNTIF(AR9:AR13,"ช")+COUNTIF(AR9:AR13,"ผ"))</f>
        <v/>
      </c>
      <c r="AS15" s="581">
        <f>IF(AS$4&lt;&gt;1,"",COUNTIF(AS9:AS13,"ช")+COUNTIF(AS9:AS13,"ผ"))</f>
        <v/>
      </c>
      <c r="AT15" s="581">
        <f>IF(AT$4&lt;&gt;1,"",COUNTIF(AT9:AT13,"ช")+COUNTIF(AT9:AT13,"ผ"))</f>
        <v/>
      </c>
      <c r="AU15" s="581">
        <f>IF(AU$4&lt;&gt;1,"",COUNTIF(AU9:AU13,"ช")+COUNTIF(AU9:AU13,"ผ"))</f>
        <v/>
      </c>
      <c r="AV15" s="581">
        <f>IF(AV$4&lt;&gt;1,"",COUNTIF(AV9:AV13,"ช")+COUNTIF(AV9:AV13,"ผ"))</f>
        <v/>
      </c>
      <c r="AW15" s="581">
        <f>IF(AW$4&lt;&gt;1,"",COUNTIF(AW9:AW13,"ช")+COUNTIF(AW9:AW13,"ผ"))</f>
        <v/>
      </c>
      <c r="AX15" s="581">
        <f>IF(AX$4&lt;&gt;1,"",COUNTIF(AX9:AX13,"ช")+COUNTIF(AX9:AX13,"ผ"))</f>
        <v/>
      </c>
      <c r="AY15" s="581">
        <f>IF(AY$4&lt;&gt;1,"",COUNTIF(AY9:AY13,"ช")+COUNTIF(AY9:AY13,"ผ"))</f>
        <v/>
      </c>
      <c r="AZ15" s="581">
        <f>IF(AZ$4&lt;&gt;1,"",COUNTIF(AZ9:AZ13,"ช")+COUNTIF(AZ9:AZ13,"ผ"))</f>
        <v/>
      </c>
      <c r="BA15" s="581">
        <f>IF(BA$4&lt;&gt;1,"",COUNTIF(BA9:BA13,"ช")+COUNTIF(BA9:BA13,"ผ"))</f>
        <v/>
      </c>
      <c r="BB15" s="581">
        <f>IF(BB$4&lt;&gt;1,"",COUNTIF(BB9:BB13,"ช")+COUNTIF(BB9:BB13,"ผ"))</f>
        <v/>
      </c>
      <c r="BC15" s="581">
        <f>IF(BC$4&lt;&gt;1,"",COUNTIF(BC9:BC13,"ช")+COUNTIF(BC9:BC13,"ผ"))</f>
        <v/>
      </c>
      <c r="BD15" s="581">
        <f>IF(BD$4&lt;&gt;1,"",COUNTIF(BD9:BD13,"ช")+COUNTIF(BD9:BD13,"ผ"))</f>
        <v/>
      </c>
      <c r="BE15" s="581">
        <f>IF(BE$4&lt;&gt;1,"",COUNTIF(BE9:BE13,"ช")+COUNTIF(BE9:BE13,"ผ"))</f>
        <v/>
      </c>
      <c r="BF15" s="581">
        <f>IF(BF$4&lt;&gt;1,"",COUNTIF(BF9:BF13,"ช")+COUNTIF(BF9:BF13,"ผ"))</f>
        <v/>
      </c>
      <c r="BG15" s="581">
        <f>IF(BG$4&lt;&gt;1,"",COUNTIF(BG9:BG13,"ช")+COUNTIF(BG9:BG13,"ผ"))</f>
        <v/>
      </c>
      <c r="BH15" s="581">
        <f>IF(BH$4&lt;&gt;1,"",COUNTIF(BH9:BH13,"ช")+COUNTIF(BH9:BH13,"ผ"))</f>
        <v/>
      </c>
      <c r="BI15" s="581">
        <f>IF(BI$4&lt;&gt;1,"",COUNTIF(BI9:BI13,"ช")+COUNTIF(BI9:BI13,"ผ"))</f>
        <v/>
      </c>
      <c r="BJ15" s="581">
        <f>IF(BJ$4&lt;&gt;1,"",COUNTIF(BJ9:BJ13,"ช")+COUNTIF(BJ9:BJ13,"ผ"))</f>
        <v/>
      </c>
      <c r="BK15" s="581">
        <f>IF(BK$4&lt;&gt;1,"",COUNTIF(BK9:BK13,"ช")+COUNTIF(BK9:BK13,"ผ"))</f>
        <v/>
      </c>
      <c r="BL15" s="581">
        <f>IF(BL$4&lt;&gt;1,"",COUNTIF(BL9:BL13,"ช")+COUNTIF(BL9:BL13,"ผ"))</f>
        <v/>
      </c>
      <c r="BM15" s="581">
        <f>IF(BM$4&lt;&gt;1,"",COUNTIF(BM9:BM13,"ช")+COUNTIF(BM9:BM13,"ผ"))</f>
        <v/>
      </c>
      <c r="BN15" s="581">
        <f>IF(BN$4&lt;&gt;1,"",COUNTIF(BN9:BN13,"ช")+COUNTIF(BN9:BN13,"ผ"))</f>
        <v/>
      </c>
      <c r="BO15" s="581">
        <f>IF(BO$4&lt;&gt;1,"",COUNTIF(BO9:BO13,"ช")+COUNTIF(BO9:BO13,"ผ"))</f>
        <v/>
      </c>
      <c r="BP15" s="581">
        <f>IF(BP$4&lt;&gt;1,"",COUNTIF(BP9:BP13,"ช")+COUNTIF(BP9:BP13,"ผ"))</f>
        <v/>
      </c>
      <c r="BQ15" s="582" t="n"/>
      <c r="BR15" s="583" t="n"/>
      <c r="BS15" s="584" t="n"/>
      <c r="BT15" s="580">
        <f>IF(BT$4&lt;&gt;1,"",COUNTIF(BT9:BT13,"ช")+COUNTIF(BT9:BT13,"ผ"))</f>
        <v/>
      </c>
      <c r="BU15" s="581">
        <f>IF(BU$4&lt;&gt;1,"",COUNTIF(BU9:BU13,"ช")+COUNTIF(BU9:BU13,"ผ"))</f>
        <v/>
      </c>
      <c r="BV15" s="581">
        <f>IF(BV$4&lt;&gt;1,"",COUNTIF(BV9:BV13,"ช")+COUNTIF(BV9:BV13,"ผ"))</f>
        <v/>
      </c>
      <c r="BW15" s="581">
        <f>IF(BW$4&lt;&gt;1,"",COUNTIF(BW9:BW13,"ช")+COUNTIF(BW9:BW13,"ผ"))</f>
        <v/>
      </c>
      <c r="BX15" s="581">
        <f>IF(BX$4&lt;&gt;1,"",COUNTIF(BX9:BX13,"ช")+COUNTIF(BX9:BX13,"ผ"))</f>
        <v/>
      </c>
      <c r="BY15" s="581">
        <f>IF(BY$4&lt;&gt;1,"",COUNTIF(BY9:BY13,"ช")+COUNTIF(BY9:BY13,"ผ"))</f>
        <v/>
      </c>
      <c r="BZ15" s="581">
        <f>IF(BZ$4&lt;&gt;1,"",COUNTIF(BZ9:BZ13,"ช")+COUNTIF(BZ9:BZ13,"ผ"))</f>
        <v/>
      </c>
      <c r="CA15" s="581">
        <f>IF(CA$4&lt;&gt;1,"",COUNTIF(CA9:CA13,"ช")+COUNTIF(CA9:CA13,"ผ"))</f>
        <v/>
      </c>
      <c r="CB15" s="581">
        <f>IF(CB$4&lt;&gt;1,"",COUNTIF(CB9:CB13,"ช")+COUNTIF(CB9:CB13,"ผ"))</f>
        <v/>
      </c>
      <c r="CC15" s="581">
        <f>IF(CC$4&lt;&gt;1,"",COUNTIF(CC9:CC13,"ช")+COUNTIF(CC9:CC13,"ผ"))</f>
        <v/>
      </c>
      <c r="CD15" s="581">
        <f>IF(CD$4&lt;&gt;1,"",COUNTIF(CD9:CD13,"ช")+COUNTIF(CD9:CD13,"ผ"))</f>
        <v/>
      </c>
      <c r="CE15" s="581">
        <f>IF(CE$4&lt;&gt;1,"",COUNTIF(CE9:CE13,"ช")+COUNTIF(CE9:CE13,"ผ"))</f>
        <v/>
      </c>
      <c r="CF15" s="581">
        <f>IF(CF$4&lt;&gt;1,"",COUNTIF(CF9:CF13,"ช")+COUNTIF(CF9:CF13,"ผ"))</f>
        <v/>
      </c>
      <c r="CG15" s="581">
        <f>IF(CG$4&lt;&gt;1,"",COUNTIF(CG9:CG13,"ช")+COUNTIF(CG9:CG13,"ผ"))</f>
        <v/>
      </c>
      <c r="CH15" s="581">
        <f>IF(CH$4&lt;&gt;1,"",COUNTIF(CH9:CH13,"ช")+COUNTIF(CH9:CH13,"ผ"))</f>
        <v/>
      </c>
      <c r="CI15" s="581">
        <f>IF(CI$4&lt;&gt;1,"",COUNTIF(CI9:CI13,"ช")+COUNTIF(CI9:CI13,"ผ"))</f>
        <v/>
      </c>
      <c r="CJ15" s="581">
        <f>IF(CJ$4&lt;&gt;1,"",COUNTIF(CJ9:CJ13,"ช")+COUNTIF(CJ9:CJ13,"ผ"))</f>
        <v/>
      </c>
      <c r="CK15" s="581">
        <f>IF(CK$4&lt;&gt;1,"",COUNTIF(CK9:CK13,"ช")+COUNTIF(CK9:CK13,"ผ"))</f>
        <v/>
      </c>
      <c r="CL15" s="581">
        <f>IF(CL$4&lt;&gt;1,"",COUNTIF(CL9:CL13,"ช")+COUNTIF(CL9:CL13,"ผ"))</f>
        <v/>
      </c>
      <c r="CM15" s="581">
        <f>IF(CM$4&lt;&gt;1,"",COUNTIF(CM9:CM13,"ช")+COUNTIF(CM9:CM13,"ผ"))</f>
        <v/>
      </c>
      <c r="CN15" s="581">
        <f>IF(CN$4&lt;&gt;1,"",COUNTIF(CN9:CN13,"ช")+COUNTIF(CN9:CN13,"ผ"))</f>
        <v/>
      </c>
      <c r="CO15" s="581">
        <f>IF(CO$4&lt;&gt;1,"",COUNTIF(CO9:CO13,"ช")+COUNTIF(CO9:CO13,"ผ"))</f>
        <v/>
      </c>
      <c r="CP15" s="581">
        <f>IF(CP$4&lt;&gt;1,"",COUNTIF(CP9:CP13,"ช")+COUNTIF(CP9:CP13,"ผ"))</f>
        <v/>
      </c>
      <c r="CQ15" s="581">
        <f>IF(CQ$4&lt;&gt;1,"",COUNTIF(CQ9:CQ13,"ช")+COUNTIF(CQ9:CQ13,"ผ"))</f>
        <v/>
      </c>
      <c r="CR15" s="581">
        <f>IF(CR$4&lt;&gt;1,"",COUNTIF(CR9:CR13,"ช")+COUNTIF(CR9:CR13,"ผ"))</f>
        <v/>
      </c>
      <c r="CS15" s="581">
        <f>IF(CS$4&lt;&gt;1,"",COUNTIF(CS9:CS13,"ช")+COUNTIF(CS9:CS13,"ผ"))</f>
        <v/>
      </c>
      <c r="CT15" s="581">
        <f>IF(CT$4&lt;&gt;1,"",COUNTIF(CT9:CT13,"ช")+COUNTIF(CT9:CT13,"ผ"))</f>
        <v/>
      </c>
      <c r="CU15" s="581">
        <f>IF(CU$4&lt;&gt;1,"",COUNTIF(CU9:CU13,"ช")+COUNTIF(CU9:CU13,"ผ"))</f>
        <v/>
      </c>
      <c r="CV15" s="581">
        <f>IF(CV$4&lt;&gt;1,"",COUNTIF(CV9:CV13,"ช")+COUNTIF(CV9:CV13,"ผ"))</f>
        <v/>
      </c>
      <c r="CW15" s="581">
        <f>IF(CW$4&lt;&gt;1,"",COUNTIF(CW9:CW13,"ช")+COUNTIF(CW9:CW13,"ผ"))</f>
        <v/>
      </c>
      <c r="CX15" s="581">
        <f>IF(CX$4&lt;&gt;1,"",COUNTIF(CX9:CX13,"ช")+COUNTIF(CX9:CX13,"ผ"))</f>
        <v/>
      </c>
      <c r="CY15" s="582" t="n"/>
      <c r="CZ15" s="583" t="n"/>
      <c r="DA15" s="584" t="n"/>
      <c r="DB15" s="580">
        <f>IF(DB$4&lt;&gt;1,"",COUNTIF(DB9:DB13,"ช")+COUNTIF(DB9:DB13,"ผ"))</f>
        <v/>
      </c>
      <c r="DC15" s="581">
        <f>IF(DC$4&lt;&gt;1,"",COUNTIF(DC9:DC13,"ช")+COUNTIF(DC9:DC13,"ผ"))</f>
        <v/>
      </c>
      <c r="DD15" s="581">
        <f>IF(DD$4&lt;&gt;1,"",COUNTIF(DD9:DD13,"ช")+COUNTIF(DD9:DD13,"ผ"))</f>
        <v/>
      </c>
      <c r="DE15" s="581">
        <f>IF(DE$4&lt;&gt;1,"",COUNTIF(DE9:DE13,"ช")+COUNTIF(DE9:DE13,"ผ"))</f>
        <v/>
      </c>
      <c r="DF15" s="581">
        <f>IF(DF$4&lt;&gt;1,"",COUNTIF(DF9:DF13,"ช")+COUNTIF(DF9:DF13,"ผ"))</f>
        <v/>
      </c>
      <c r="DG15" s="581">
        <f>IF(DG$4&lt;&gt;1,"",COUNTIF(DG9:DG13,"ช")+COUNTIF(DG9:DG13,"ผ"))</f>
        <v/>
      </c>
      <c r="DH15" s="581">
        <f>IF(DH$4&lt;&gt;1,"",COUNTIF(DH9:DH13,"ช")+COUNTIF(DH9:DH13,"ผ"))</f>
        <v/>
      </c>
      <c r="DI15" s="581">
        <f>IF(DI$4&lt;&gt;1,"",COUNTIF(DI9:DI13,"ช")+COUNTIF(DI9:DI13,"ผ"))</f>
        <v/>
      </c>
      <c r="DJ15" s="581">
        <f>IF(DJ$4&lt;&gt;1,"",COUNTIF(DJ9:DJ13,"ช")+COUNTIF(DJ9:DJ13,"ผ"))</f>
        <v/>
      </c>
      <c r="DK15" s="581">
        <f>IF(DK$4&lt;&gt;1,"",COUNTIF(DK9:DK13,"ช")+COUNTIF(DK9:DK13,"ผ"))</f>
        <v/>
      </c>
      <c r="DL15" s="581">
        <f>IF(DL$4&lt;&gt;1,"",COUNTIF(DL9:DL13,"ช")+COUNTIF(DL9:DL13,"ผ"))</f>
        <v/>
      </c>
      <c r="DM15" s="581">
        <f>IF(DM$4&lt;&gt;1,"",COUNTIF(DM9:DM13,"ช")+COUNTIF(DM9:DM13,"ผ"))</f>
        <v/>
      </c>
      <c r="DN15" s="581">
        <f>IF(DN$4&lt;&gt;1,"",COUNTIF(DN9:DN13,"ช")+COUNTIF(DN9:DN13,"ผ"))</f>
        <v/>
      </c>
      <c r="DO15" s="581">
        <f>IF(DO$4&lt;&gt;1,"",COUNTIF(DO9:DO13,"ช")+COUNTIF(DO9:DO13,"ผ"))</f>
        <v/>
      </c>
      <c r="DP15" s="581">
        <f>IF(DP$4&lt;&gt;1,"",COUNTIF(DP9:DP13,"ช")+COUNTIF(DP9:DP13,"ผ"))</f>
        <v/>
      </c>
      <c r="DQ15" s="581">
        <f>IF(DQ$4&lt;&gt;1,"",COUNTIF(DQ9:DQ13,"ช")+COUNTIF(DQ9:DQ13,"ผ"))</f>
        <v/>
      </c>
      <c r="DR15" s="581">
        <f>IF(DR$4&lt;&gt;1,"",COUNTIF(DR9:DR13,"ช")+COUNTIF(DR9:DR13,"ผ"))</f>
        <v/>
      </c>
      <c r="DS15" s="581">
        <f>IF(DS$4&lt;&gt;1,"",COUNTIF(DS9:DS13,"ช")+COUNTIF(DS9:DS13,"ผ"))</f>
        <v/>
      </c>
      <c r="DT15" s="581">
        <f>IF(DT$4&lt;&gt;1,"",COUNTIF(DT9:DT13,"ช")+COUNTIF(DT9:DT13,"ผ"))</f>
        <v/>
      </c>
      <c r="DU15" s="581">
        <f>IF(DU$4&lt;&gt;1,"",COUNTIF(DU9:DU13,"ช")+COUNTIF(DU9:DU13,"ผ"))</f>
        <v/>
      </c>
      <c r="DV15" s="581">
        <f>IF(DV$4&lt;&gt;1,"",COUNTIF(DV9:DV13,"ช")+COUNTIF(DV9:DV13,"ผ"))</f>
        <v/>
      </c>
      <c r="DW15" s="581">
        <f>IF(DW$4&lt;&gt;1,"",COUNTIF(DW9:DW13,"ช")+COUNTIF(DW9:DW13,"ผ"))</f>
        <v/>
      </c>
      <c r="DX15" s="581">
        <f>IF(DX$4&lt;&gt;1,"",COUNTIF(DX9:DX13,"ช")+COUNTIF(DX9:DX13,"ผ"))</f>
        <v/>
      </c>
      <c r="DY15" s="581">
        <f>IF(DY$4&lt;&gt;1,"",COUNTIF(DY9:DY13,"ช")+COUNTIF(DY9:DY13,"ผ"))</f>
        <v/>
      </c>
      <c r="DZ15" s="581">
        <f>IF(DZ$4&lt;&gt;1,"",COUNTIF(DZ9:DZ13,"ช")+COUNTIF(DZ9:DZ13,"ผ"))</f>
        <v/>
      </c>
      <c r="EA15" s="581">
        <f>IF(EA$4&lt;&gt;1,"",COUNTIF(EA9:EA13,"ช")+COUNTIF(EA9:EA13,"ผ"))</f>
        <v/>
      </c>
      <c r="EB15" s="581">
        <f>IF(EB$4&lt;&gt;1,"",COUNTIF(EB9:EB13,"ช")+COUNTIF(EB9:EB13,"ผ"))</f>
        <v/>
      </c>
      <c r="EC15" s="581">
        <f>IF(EC$4&lt;&gt;1,"",COUNTIF(EC9:EC13,"ช")+COUNTIF(EC9:EC13,"ผ"))</f>
        <v/>
      </c>
      <c r="ED15" s="581">
        <f>IF(ED$4&lt;&gt;1,"",COUNTIF(ED9:ED13,"ช")+COUNTIF(ED9:ED13,"ผ"))</f>
        <v/>
      </c>
      <c r="EE15" s="581">
        <f>IF(EE$4&lt;&gt;1,"",COUNTIF(EE9:EE13,"ช")+COUNTIF(EE9:EE13,"ผ"))</f>
        <v/>
      </c>
      <c r="EF15" s="581">
        <f>IF(EF$4&lt;&gt;1,"",COUNTIF(EF9:EF13,"ช")+COUNTIF(EF9:EF13,"ผ"))</f>
        <v/>
      </c>
      <c r="EG15" s="582" t="n"/>
      <c r="EH15" s="583" t="n"/>
      <c r="EI15" s="584" t="n"/>
      <c r="EJ15" s="580">
        <f>IF(EJ$4&lt;&gt;1,"",COUNTIF(EJ9:EJ13,"ช")+COUNTIF(EJ9:EJ13,"ผ"))</f>
        <v/>
      </c>
      <c r="EK15" s="581">
        <f>IF(EK$4&lt;&gt;1,"",COUNTIF(EK9:EK13,"ช")+COUNTIF(EK9:EK13,"ผ"))</f>
        <v/>
      </c>
      <c r="EL15" s="581">
        <f>IF(EL$4&lt;&gt;1,"",COUNTIF(EL9:EL13,"ช")+COUNTIF(EL9:EL13,"ผ"))</f>
        <v/>
      </c>
      <c r="EM15" s="581">
        <f>IF(EM$4&lt;&gt;1,"",COUNTIF(EM9:EM13,"ช")+COUNTIF(EM9:EM13,"ผ"))</f>
        <v/>
      </c>
      <c r="EN15" s="581">
        <f>IF(EN$4&lt;&gt;1,"",COUNTIF(EN9:EN13,"ช")+COUNTIF(EN9:EN13,"ผ"))</f>
        <v/>
      </c>
      <c r="EO15" s="581">
        <f>IF(EO$4&lt;&gt;1,"",COUNTIF(EO9:EO13,"ช")+COUNTIF(EO9:EO13,"ผ"))</f>
        <v/>
      </c>
      <c r="EP15" s="581">
        <f>IF(EP$4&lt;&gt;1,"",COUNTIF(EP9:EP13,"ช")+COUNTIF(EP9:EP13,"ผ"))</f>
        <v/>
      </c>
      <c r="EQ15" s="581">
        <f>IF(EQ$4&lt;&gt;1,"",COUNTIF(EQ9:EQ13,"ช")+COUNTIF(EQ9:EQ13,"ผ"))</f>
        <v/>
      </c>
      <c r="ER15" s="581">
        <f>IF(ER$4&lt;&gt;1,"",COUNTIF(ER9:ER13,"ช")+COUNTIF(ER9:ER13,"ผ"))</f>
        <v/>
      </c>
      <c r="ES15" s="581">
        <f>IF(ES$4&lt;&gt;1,"",COUNTIF(ES9:ES13,"ช")+COUNTIF(ES9:ES13,"ผ"))</f>
        <v/>
      </c>
      <c r="ET15" s="581">
        <f>IF(ET$4&lt;&gt;1,"",COUNTIF(ET9:ET13,"ช")+COUNTIF(ET9:ET13,"ผ"))</f>
        <v/>
      </c>
      <c r="EU15" s="581">
        <f>IF(EU$4&lt;&gt;1,"",COUNTIF(EU9:EU13,"ช")+COUNTIF(EU9:EU13,"ผ"))</f>
        <v/>
      </c>
      <c r="EV15" s="581">
        <f>IF(EV$4&lt;&gt;1,"",COUNTIF(EV9:EV13,"ช")+COUNTIF(EV9:EV13,"ผ"))</f>
        <v/>
      </c>
      <c r="EW15" s="581">
        <f>IF(EW$4&lt;&gt;1,"",COUNTIF(EW9:EW13,"ช")+COUNTIF(EW9:EW13,"ผ"))</f>
        <v/>
      </c>
      <c r="EX15" s="581">
        <f>IF(EX$4&lt;&gt;1,"",COUNTIF(EX9:EX13,"ช")+COUNTIF(EX9:EX13,"ผ"))</f>
        <v/>
      </c>
      <c r="EY15" s="581">
        <f>IF(EY$4&lt;&gt;1,"",COUNTIF(EY9:EY13,"ช")+COUNTIF(EY9:EY13,"ผ"))</f>
        <v/>
      </c>
      <c r="EZ15" s="581">
        <f>IF(EZ$4&lt;&gt;1,"",COUNTIF(EZ9:EZ13,"ช")+COUNTIF(EZ9:EZ13,"ผ"))</f>
        <v/>
      </c>
      <c r="FA15" s="581">
        <f>IF(FA$4&lt;&gt;1,"",COUNTIF(FA9:FA13,"ช")+COUNTIF(FA9:FA13,"ผ"))</f>
        <v/>
      </c>
      <c r="FB15" s="581">
        <f>IF(FB$4&lt;&gt;1,"",COUNTIF(FB9:FB13,"ช")+COUNTIF(FB9:FB13,"ผ"))</f>
        <v/>
      </c>
      <c r="FC15" s="581">
        <f>IF(FC$4&lt;&gt;1,"",COUNTIF(FC9:FC13,"ช")+COUNTIF(FC9:FC13,"ผ"))</f>
        <v/>
      </c>
      <c r="FD15" s="581">
        <f>IF(FD$4&lt;&gt;1,"",COUNTIF(FD9:FD13,"ช")+COUNTIF(FD9:FD13,"ผ"))</f>
        <v/>
      </c>
      <c r="FE15" s="581">
        <f>IF(FE$4&lt;&gt;1,"",COUNTIF(FE9:FE13,"ช")+COUNTIF(FE9:FE13,"ผ"))</f>
        <v/>
      </c>
      <c r="FF15" s="581">
        <f>IF(FF$4&lt;&gt;1,"",COUNTIF(FF9:FF13,"ช")+COUNTIF(FF9:FF13,"ผ"))</f>
        <v/>
      </c>
      <c r="FG15" s="581">
        <f>IF(FG$4&lt;&gt;1,"",COUNTIF(FG9:FG13,"ช")+COUNTIF(FG9:FG13,"ผ"))</f>
        <v/>
      </c>
      <c r="FH15" s="581">
        <f>IF(FH$4&lt;&gt;1,"",COUNTIF(FH9:FH13,"ช")+COUNTIF(FH9:FH13,"ผ"))</f>
        <v/>
      </c>
      <c r="FI15" s="581">
        <f>IF(FI$4&lt;&gt;1,"",COUNTIF(FI9:FI13,"ช")+COUNTIF(FI9:FI13,"ผ"))</f>
        <v/>
      </c>
      <c r="FJ15" s="581">
        <f>IF(FJ$4&lt;&gt;1,"",COUNTIF(FJ9:FJ13,"ช")+COUNTIF(FJ9:FJ13,"ผ"))</f>
        <v/>
      </c>
      <c r="FK15" s="581">
        <f>IF(FK$4&lt;&gt;1,"",COUNTIF(FK9:FK13,"ช")+COUNTIF(FK9:FK13,"ผ"))</f>
        <v/>
      </c>
      <c r="FL15" s="581">
        <f>IF(FL$4&lt;&gt;1,"",COUNTIF(FL9:FL13,"ช")+COUNTIF(FL9:FL13,"ผ"))</f>
        <v/>
      </c>
      <c r="FM15" s="581">
        <f>IF(FM$4&lt;&gt;1,"",COUNTIF(FM9:FM13,"ช")+COUNTIF(FM9:FM13,"ผ"))</f>
        <v/>
      </c>
      <c r="FN15" s="581">
        <f>IF(FN$4&lt;&gt;1,"",COUNTIF(FN9:FN13,"ช")+COUNTIF(FN9:FN13,"ผ"))</f>
        <v/>
      </c>
      <c r="FO15" s="582" t="n"/>
      <c r="FP15" s="583" t="n"/>
      <c r="FQ15" s="584" t="n"/>
      <c r="FR15" s="580">
        <f>IF(FR$4&lt;&gt;1,"",COUNTIF(FR9:FR13,"ช")+COUNTIF(FR9:FR13,"ผ"))</f>
        <v/>
      </c>
      <c r="FS15" s="581">
        <f>IF(FS$4&lt;&gt;1,"",COUNTIF(FS9:FS13,"ช")+COUNTIF(FS9:FS13,"ผ"))</f>
        <v/>
      </c>
      <c r="FT15" s="581">
        <f>IF(FT$4&lt;&gt;1,"",COUNTIF(FT9:FT13,"ช")+COUNTIF(FT9:FT13,"ผ"))</f>
        <v/>
      </c>
      <c r="FU15" s="581">
        <f>IF(FU$4&lt;&gt;1,"",COUNTIF(FU9:FU13,"ช")+COUNTIF(FU9:FU13,"ผ"))</f>
        <v/>
      </c>
      <c r="FV15" s="581">
        <f>IF(FV$4&lt;&gt;1,"",COUNTIF(FV9:FV13,"ช")+COUNTIF(FV9:FV13,"ผ"))</f>
        <v/>
      </c>
      <c r="FW15" s="581">
        <f>IF(FW$4&lt;&gt;1,"",COUNTIF(FW9:FW13,"ช")+COUNTIF(FW9:FW13,"ผ"))</f>
        <v/>
      </c>
      <c r="FX15" s="581">
        <f>IF(FX$4&lt;&gt;1,"",COUNTIF(FX9:FX13,"ช")+COUNTIF(FX9:FX13,"ผ"))</f>
        <v/>
      </c>
      <c r="FY15" s="581">
        <f>IF(FY$4&lt;&gt;1,"",COUNTIF(FY9:FY13,"ช")+COUNTIF(FY9:FY13,"ผ"))</f>
        <v/>
      </c>
      <c r="FZ15" s="581">
        <f>IF(FZ$4&lt;&gt;1,"",COUNTIF(FZ9:FZ13,"ช")+COUNTIF(FZ9:FZ13,"ผ"))</f>
        <v/>
      </c>
      <c r="GA15" s="581">
        <f>IF(GA$4&lt;&gt;1,"",COUNTIF(GA9:GA13,"ช")+COUNTIF(GA9:GA13,"ผ"))</f>
        <v/>
      </c>
      <c r="GB15" s="581">
        <f>IF(GB$4&lt;&gt;1,"",COUNTIF(GB9:GB13,"ช")+COUNTIF(GB9:GB13,"ผ"))</f>
        <v/>
      </c>
      <c r="GC15" s="581">
        <f>IF(GC$4&lt;&gt;1,"",COUNTIF(GC9:GC13,"ช")+COUNTIF(GC9:GC13,"ผ"))</f>
        <v/>
      </c>
      <c r="GD15" s="581">
        <f>IF(GD$4&lt;&gt;1,"",COUNTIF(GD9:GD13,"ช")+COUNTIF(GD9:GD13,"ผ"))</f>
        <v/>
      </c>
      <c r="GE15" s="581">
        <f>IF(GE$4&lt;&gt;1,"",COUNTIF(GE9:GE13,"ช")+COUNTIF(GE9:GE13,"ผ"))</f>
        <v/>
      </c>
      <c r="GF15" s="581">
        <f>IF(GF$4&lt;&gt;1,"",COUNTIF(GF9:GF13,"ช")+COUNTIF(GF9:GF13,"ผ"))</f>
        <v/>
      </c>
      <c r="GG15" s="581">
        <f>IF(GG$4&lt;&gt;1,"",COUNTIF(GG9:GG13,"ช")+COUNTIF(GG9:GG13,"ผ"))</f>
        <v/>
      </c>
      <c r="GH15" s="581">
        <f>IF(GH$4&lt;&gt;1,"",COUNTIF(GH9:GH13,"ช")+COUNTIF(GH9:GH13,"ผ"))</f>
        <v/>
      </c>
      <c r="GI15" s="581">
        <f>IF(GI$4&lt;&gt;1,"",COUNTIF(GI9:GI13,"ช")+COUNTIF(GI9:GI13,"ผ"))</f>
        <v/>
      </c>
      <c r="GJ15" s="581">
        <f>IF(GJ$4&lt;&gt;1,"",COUNTIF(GJ9:GJ13,"ช")+COUNTIF(GJ9:GJ13,"ผ"))</f>
        <v/>
      </c>
      <c r="GK15" s="581">
        <f>IF(GK$4&lt;&gt;1,"",COUNTIF(GK9:GK13,"ช")+COUNTIF(GK9:GK13,"ผ"))</f>
        <v/>
      </c>
      <c r="GL15" s="581">
        <f>IF(GL$4&lt;&gt;1,"",COUNTIF(GL9:GL13,"ช")+COUNTIF(GL9:GL13,"ผ"))</f>
        <v/>
      </c>
      <c r="GM15" s="581">
        <f>IF(GM$4&lt;&gt;1,"",COUNTIF(GM9:GM13,"ช")+COUNTIF(GM9:GM13,"ผ"))</f>
        <v/>
      </c>
      <c r="GN15" s="581">
        <f>IF(GN$4&lt;&gt;1,"",COUNTIF(GN9:GN13,"ช")+COUNTIF(GN9:GN13,"ผ"))</f>
        <v/>
      </c>
      <c r="GO15" s="581">
        <f>IF(GO$4&lt;&gt;1,"",COUNTIF(GO9:GO13,"ช")+COUNTIF(GO9:GO13,"ผ"))</f>
        <v/>
      </c>
      <c r="GP15" s="581">
        <f>IF(GP$4&lt;&gt;1,"",COUNTIF(GP9:GP13,"ช")+COUNTIF(GP9:GP13,"ผ"))</f>
        <v/>
      </c>
      <c r="GQ15" s="581">
        <f>IF(GQ$4&lt;&gt;1,"",COUNTIF(GQ9:GQ13,"ช")+COUNTIF(GQ9:GQ13,"ผ"))</f>
        <v/>
      </c>
      <c r="GR15" s="581">
        <f>IF(GR$4&lt;&gt;1,"",COUNTIF(GR9:GR13,"ช")+COUNTIF(GR9:GR13,"ผ"))</f>
        <v/>
      </c>
      <c r="GS15" s="581">
        <f>IF(GS$4&lt;&gt;1,"",COUNTIF(GS9:GS13,"ช")+COUNTIF(GS9:GS13,"ผ"))</f>
        <v/>
      </c>
      <c r="GT15" s="581">
        <f>IF(GT$4&lt;&gt;1,"",COUNTIF(GT9:GT13,"ช")+COUNTIF(GT9:GT13,"ผ"))</f>
        <v/>
      </c>
      <c r="GU15" s="581">
        <f>IF(GU$4&lt;&gt;1,"",COUNTIF(GU9:GU13,"ช")+COUNTIF(GU9:GU13,"ผ"))</f>
        <v/>
      </c>
      <c r="GV15" s="581">
        <f>IF(GV$4&lt;&gt;1,"",COUNTIF(GV9:GV13,"ช")+COUNTIF(GV9:GV13,"ผ"))</f>
        <v/>
      </c>
      <c r="GW15" s="582" t="n"/>
      <c r="GX15" s="583" t="n"/>
      <c r="GY15" s="584" t="n"/>
    </row>
    <row r="16">
      <c r="A16" s="579" t="inlineStr">
        <is>
          <t>ราด / เปียก (คน)</t>
        </is>
      </c>
      <c r="B16" s="184" t="n"/>
      <c r="C16" s="184" t="n"/>
      <c r="D16" s="580">
        <f>IF(D$4&lt;&gt;1,"",COUNTIF(D9:D13,"ร"))</f>
        <v/>
      </c>
      <c r="E16" s="581">
        <f>IF(E$4&lt;&gt;1,"",COUNTIF(E9:E13,"ร"))</f>
        <v/>
      </c>
      <c r="F16" s="581">
        <f>IF(F$4&lt;&gt;1,"",COUNTIF(F9:F13,"ร"))</f>
        <v/>
      </c>
      <c r="G16" s="581">
        <f>IF(G$4&lt;&gt;1,"",COUNTIF(G9:G13,"ร"))</f>
        <v/>
      </c>
      <c r="H16" s="581">
        <f>IF(H$4&lt;&gt;1,"",COUNTIF(H9:H13,"ร"))</f>
        <v/>
      </c>
      <c r="I16" s="581">
        <f>IF(I$4&lt;&gt;1,"",COUNTIF(I9:I13,"ร"))</f>
        <v/>
      </c>
      <c r="J16" s="581">
        <f>IF(J$4&lt;&gt;1,"",COUNTIF(J9:J13,"ร"))</f>
        <v/>
      </c>
      <c r="K16" s="581">
        <f>IF(K$4&lt;&gt;1,"",COUNTIF(K9:K13,"ร"))</f>
        <v/>
      </c>
      <c r="L16" s="581">
        <f>IF(L$4&lt;&gt;1,"",COUNTIF(L9:L13,"ร"))</f>
        <v/>
      </c>
      <c r="M16" s="581">
        <f>IF(M$4&lt;&gt;1,"",COUNTIF(M9:M13,"ร"))</f>
        <v/>
      </c>
      <c r="N16" s="581">
        <f>IF(N$4&lt;&gt;1,"",COUNTIF(N9:N13,"ร"))</f>
        <v/>
      </c>
      <c r="O16" s="581">
        <f>IF(O$4&lt;&gt;1,"",COUNTIF(O9:O13,"ร"))</f>
        <v/>
      </c>
      <c r="P16" s="581">
        <f>IF(P$4&lt;&gt;1,"",COUNTIF(P9:P13,"ร"))</f>
        <v/>
      </c>
      <c r="Q16" s="581">
        <f>IF(Q$4&lt;&gt;1,"",COUNTIF(Q9:Q13,"ร"))</f>
        <v/>
      </c>
      <c r="R16" s="581">
        <f>IF(R$4&lt;&gt;1,"",COUNTIF(R9:R13,"ร"))</f>
        <v/>
      </c>
      <c r="S16" s="581">
        <f>IF(S$4&lt;&gt;1,"",COUNTIF(S9:S13,"ร"))</f>
        <v/>
      </c>
      <c r="T16" s="581">
        <f>IF(T$4&lt;&gt;1,"",COUNTIF(T9:T13,"ร"))</f>
        <v/>
      </c>
      <c r="U16" s="581">
        <f>IF(U$4&lt;&gt;1,"",COUNTIF(U9:U13,"ร"))</f>
        <v/>
      </c>
      <c r="V16" s="581">
        <f>IF(V$4&lt;&gt;1,"",COUNTIF(V9:V13,"ร"))</f>
        <v/>
      </c>
      <c r="W16" s="581">
        <f>IF(W$4&lt;&gt;1,"",COUNTIF(W9:W13,"ร"))</f>
        <v/>
      </c>
      <c r="X16" s="581">
        <f>IF(X$4&lt;&gt;1,"",COUNTIF(X9:X13,"ร"))</f>
        <v/>
      </c>
      <c r="Y16" s="581">
        <f>IF(Y$4&lt;&gt;1,"",COUNTIF(Y9:Y13,"ร"))</f>
        <v/>
      </c>
      <c r="Z16" s="581">
        <f>IF(Z$4&lt;&gt;1,"",COUNTIF(Z9:Z13,"ร"))</f>
        <v/>
      </c>
      <c r="AA16" s="581">
        <f>IF(AA$4&lt;&gt;1,"",COUNTIF(AA9:AA13,"ร"))</f>
        <v/>
      </c>
      <c r="AB16" s="581">
        <f>IF(AB$4&lt;&gt;1,"",COUNTIF(AB9:AB13,"ร"))</f>
        <v/>
      </c>
      <c r="AC16" s="581">
        <f>IF(AC$4&lt;&gt;1,"",COUNTIF(AC9:AC13,"ร"))</f>
        <v/>
      </c>
      <c r="AD16" s="581">
        <f>IF(AD$4&lt;&gt;1,"",COUNTIF(AD9:AD13,"ร"))</f>
        <v/>
      </c>
      <c r="AE16" s="581">
        <f>IF(AE$4&lt;&gt;1,"",COUNTIF(AE9:AE13,"ร"))</f>
        <v/>
      </c>
      <c r="AF16" s="581">
        <f>IF(AF$4&lt;&gt;1,"",COUNTIF(AF9:AF13,"ร"))</f>
        <v/>
      </c>
      <c r="AG16" s="581">
        <f>IF(AG$4&lt;&gt;1,"",COUNTIF(AG9:AG13,"ร"))</f>
        <v/>
      </c>
      <c r="AH16" s="581">
        <f>IF(AH$4&lt;&gt;1,"",COUNTIF(AH9:AH13,"ร"))</f>
        <v/>
      </c>
      <c r="AI16" s="582" t="n"/>
      <c r="AJ16" s="583" t="n"/>
      <c r="AK16" s="584" t="n"/>
      <c r="AL16" s="580">
        <f>IF(AL$4&lt;&gt;1,"",COUNTIF(AL9:AL13,"ร"))</f>
        <v/>
      </c>
      <c r="AM16" s="581">
        <f>IF(AM$4&lt;&gt;1,"",COUNTIF(AM9:AM13,"ร"))</f>
        <v/>
      </c>
      <c r="AN16" s="581">
        <f>IF(AN$4&lt;&gt;1,"",COUNTIF(AN9:AN13,"ร"))</f>
        <v/>
      </c>
      <c r="AO16" s="581">
        <f>IF(AO$4&lt;&gt;1,"",COUNTIF(AO9:AO13,"ร"))</f>
        <v/>
      </c>
      <c r="AP16" s="581">
        <f>IF(AP$4&lt;&gt;1,"",COUNTIF(AP9:AP13,"ร"))</f>
        <v/>
      </c>
      <c r="AQ16" s="581">
        <f>IF(AQ$4&lt;&gt;1,"",COUNTIF(AQ9:AQ13,"ร"))</f>
        <v/>
      </c>
      <c r="AR16" s="581">
        <f>IF(AR$4&lt;&gt;1,"",COUNTIF(AR9:AR13,"ร"))</f>
        <v/>
      </c>
      <c r="AS16" s="581">
        <f>IF(AS$4&lt;&gt;1,"",COUNTIF(AS9:AS13,"ร"))</f>
        <v/>
      </c>
      <c r="AT16" s="581">
        <f>IF(AT$4&lt;&gt;1,"",COUNTIF(AT9:AT13,"ร"))</f>
        <v/>
      </c>
      <c r="AU16" s="581">
        <f>IF(AU$4&lt;&gt;1,"",COUNTIF(AU9:AU13,"ร"))</f>
        <v/>
      </c>
      <c r="AV16" s="581">
        <f>IF(AV$4&lt;&gt;1,"",COUNTIF(AV9:AV13,"ร"))</f>
        <v/>
      </c>
      <c r="AW16" s="581">
        <f>IF(AW$4&lt;&gt;1,"",COUNTIF(AW9:AW13,"ร"))</f>
        <v/>
      </c>
      <c r="AX16" s="581">
        <f>IF(AX$4&lt;&gt;1,"",COUNTIF(AX9:AX13,"ร"))</f>
        <v/>
      </c>
      <c r="AY16" s="581">
        <f>IF(AY$4&lt;&gt;1,"",COUNTIF(AY9:AY13,"ร"))</f>
        <v/>
      </c>
      <c r="AZ16" s="581">
        <f>IF(AZ$4&lt;&gt;1,"",COUNTIF(AZ9:AZ13,"ร"))</f>
        <v/>
      </c>
      <c r="BA16" s="581">
        <f>IF(BA$4&lt;&gt;1,"",COUNTIF(BA9:BA13,"ร"))</f>
        <v/>
      </c>
      <c r="BB16" s="581">
        <f>IF(BB$4&lt;&gt;1,"",COUNTIF(BB9:BB13,"ร"))</f>
        <v/>
      </c>
      <c r="BC16" s="581">
        <f>IF(BC$4&lt;&gt;1,"",COUNTIF(BC9:BC13,"ร"))</f>
        <v/>
      </c>
      <c r="BD16" s="581">
        <f>IF(BD$4&lt;&gt;1,"",COUNTIF(BD9:BD13,"ร"))</f>
        <v/>
      </c>
      <c r="BE16" s="581">
        <f>IF(BE$4&lt;&gt;1,"",COUNTIF(BE9:BE13,"ร"))</f>
        <v/>
      </c>
      <c r="BF16" s="581">
        <f>IF(BF$4&lt;&gt;1,"",COUNTIF(BF9:BF13,"ร"))</f>
        <v/>
      </c>
      <c r="BG16" s="581">
        <f>IF(BG$4&lt;&gt;1,"",COUNTIF(BG9:BG13,"ร"))</f>
        <v/>
      </c>
      <c r="BH16" s="581">
        <f>IF(BH$4&lt;&gt;1,"",COUNTIF(BH9:BH13,"ร"))</f>
        <v/>
      </c>
      <c r="BI16" s="581">
        <f>IF(BI$4&lt;&gt;1,"",COUNTIF(BI9:BI13,"ร"))</f>
        <v/>
      </c>
      <c r="BJ16" s="581">
        <f>IF(BJ$4&lt;&gt;1,"",COUNTIF(BJ9:BJ13,"ร"))</f>
        <v/>
      </c>
      <c r="BK16" s="581">
        <f>IF(BK$4&lt;&gt;1,"",COUNTIF(BK9:BK13,"ร"))</f>
        <v/>
      </c>
      <c r="BL16" s="581">
        <f>IF(BL$4&lt;&gt;1,"",COUNTIF(BL9:BL13,"ร"))</f>
        <v/>
      </c>
      <c r="BM16" s="581">
        <f>IF(BM$4&lt;&gt;1,"",COUNTIF(BM9:BM13,"ร"))</f>
        <v/>
      </c>
      <c r="BN16" s="581">
        <f>IF(BN$4&lt;&gt;1,"",COUNTIF(BN9:BN13,"ร"))</f>
        <v/>
      </c>
      <c r="BO16" s="581">
        <f>IF(BO$4&lt;&gt;1,"",COUNTIF(BO9:BO13,"ร"))</f>
        <v/>
      </c>
      <c r="BP16" s="581">
        <f>IF(BP$4&lt;&gt;1,"",COUNTIF(BP9:BP13,"ร"))</f>
        <v/>
      </c>
      <c r="BQ16" s="582" t="n"/>
      <c r="BR16" s="583" t="n"/>
      <c r="BS16" s="584" t="n"/>
      <c r="BT16" s="580">
        <f>IF(BT$4&lt;&gt;1,"",COUNTIF(BT9:BT13,"ร"))</f>
        <v/>
      </c>
      <c r="BU16" s="581">
        <f>IF(BU$4&lt;&gt;1,"",COUNTIF(BU9:BU13,"ร"))</f>
        <v/>
      </c>
      <c r="BV16" s="581">
        <f>IF(BV$4&lt;&gt;1,"",COUNTIF(BV9:BV13,"ร"))</f>
        <v/>
      </c>
      <c r="BW16" s="581">
        <f>IF(BW$4&lt;&gt;1,"",COUNTIF(BW9:BW13,"ร"))</f>
        <v/>
      </c>
      <c r="BX16" s="581">
        <f>IF(BX$4&lt;&gt;1,"",COUNTIF(BX9:BX13,"ร"))</f>
        <v/>
      </c>
      <c r="BY16" s="581">
        <f>IF(BY$4&lt;&gt;1,"",COUNTIF(BY9:BY13,"ร"))</f>
        <v/>
      </c>
      <c r="BZ16" s="581">
        <f>IF(BZ$4&lt;&gt;1,"",COUNTIF(BZ9:BZ13,"ร"))</f>
        <v/>
      </c>
      <c r="CA16" s="581">
        <f>IF(CA$4&lt;&gt;1,"",COUNTIF(CA9:CA13,"ร"))</f>
        <v/>
      </c>
      <c r="CB16" s="581">
        <f>IF(CB$4&lt;&gt;1,"",COUNTIF(CB9:CB13,"ร"))</f>
        <v/>
      </c>
      <c r="CC16" s="581">
        <f>IF(CC$4&lt;&gt;1,"",COUNTIF(CC9:CC13,"ร"))</f>
        <v/>
      </c>
      <c r="CD16" s="581">
        <f>IF(CD$4&lt;&gt;1,"",COUNTIF(CD9:CD13,"ร"))</f>
        <v/>
      </c>
      <c r="CE16" s="581">
        <f>IF(CE$4&lt;&gt;1,"",COUNTIF(CE9:CE13,"ร"))</f>
        <v/>
      </c>
      <c r="CF16" s="581">
        <f>IF(CF$4&lt;&gt;1,"",COUNTIF(CF9:CF13,"ร"))</f>
        <v/>
      </c>
      <c r="CG16" s="581">
        <f>IF(CG$4&lt;&gt;1,"",COUNTIF(CG9:CG13,"ร"))</f>
        <v/>
      </c>
      <c r="CH16" s="581">
        <f>IF(CH$4&lt;&gt;1,"",COUNTIF(CH9:CH13,"ร"))</f>
        <v/>
      </c>
      <c r="CI16" s="581">
        <f>IF(CI$4&lt;&gt;1,"",COUNTIF(CI9:CI13,"ร"))</f>
        <v/>
      </c>
      <c r="CJ16" s="581">
        <f>IF(CJ$4&lt;&gt;1,"",COUNTIF(CJ9:CJ13,"ร"))</f>
        <v/>
      </c>
      <c r="CK16" s="581">
        <f>IF(CK$4&lt;&gt;1,"",COUNTIF(CK9:CK13,"ร"))</f>
        <v/>
      </c>
      <c r="CL16" s="581">
        <f>IF(CL$4&lt;&gt;1,"",COUNTIF(CL9:CL13,"ร"))</f>
        <v/>
      </c>
      <c r="CM16" s="581">
        <f>IF(CM$4&lt;&gt;1,"",COUNTIF(CM9:CM13,"ร"))</f>
        <v/>
      </c>
      <c r="CN16" s="581">
        <f>IF(CN$4&lt;&gt;1,"",COUNTIF(CN9:CN13,"ร"))</f>
        <v/>
      </c>
      <c r="CO16" s="581">
        <f>IF(CO$4&lt;&gt;1,"",COUNTIF(CO9:CO13,"ร"))</f>
        <v/>
      </c>
      <c r="CP16" s="581">
        <f>IF(CP$4&lt;&gt;1,"",COUNTIF(CP9:CP13,"ร"))</f>
        <v/>
      </c>
      <c r="CQ16" s="581">
        <f>IF(CQ$4&lt;&gt;1,"",COUNTIF(CQ9:CQ13,"ร"))</f>
        <v/>
      </c>
      <c r="CR16" s="581">
        <f>IF(CR$4&lt;&gt;1,"",COUNTIF(CR9:CR13,"ร"))</f>
        <v/>
      </c>
      <c r="CS16" s="581">
        <f>IF(CS$4&lt;&gt;1,"",COUNTIF(CS9:CS13,"ร"))</f>
        <v/>
      </c>
      <c r="CT16" s="581">
        <f>IF(CT$4&lt;&gt;1,"",COUNTIF(CT9:CT13,"ร"))</f>
        <v/>
      </c>
      <c r="CU16" s="581">
        <f>IF(CU$4&lt;&gt;1,"",COUNTIF(CU9:CU13,"ร"))</f>
        <v/>
      </c>
      <c r="CV16" s="581">
        <f>IF(CV$4&lt;&gt;1,"",COUNTIF(CV9:CV13,"ร"))</f>
        <v/>
      </c>
      <c r="CW16" s="581">
        <f>IF(CW$4&lt;&gt;1,"",COUNTIF(CW9:CW13,"ร"))</f>
        <v/>
      </c>
      <c r="CX16" s="581">
        <f>IF(CX$4&lt;&gt;1,"",COUNTIF(CX9:CX13,"ร"))</f>
        <v/>
      </c>
      <c r="CY16" s="582" t="n"/>
      <c r="CZ16" s="583" t="n"/>
      <c r="DA16" s="584" t="n"/>
      <c r="DB16" s="580">
        <f>IF(DB$4&lt;&gt;1,"",COUNTIF(DB9:DB13,"ร"))</f>
        <v/>
      </c>
      <c r="DC16" s="581">
        <f>IF(DC$4&lt;&gt;1,"",COUNTIF(DC9:DC13,"ร"))</f>
        <v/>
      </c>
      <c r="DD16" s="581">
        <f>IF(DD$4&lt;&gt;1,"",COUNTIF(DD9:DD13,"ร"))</f>
        <v/>
      </c>
      <c r="DE16" s="581">
        <f>IF(DE$4&lt;&gt;1,"",COUNTIF(DE9:DE13,"ร"))</f>
        <v/>
      </c>
      <c r="DF16" s="581">
        <f>IF(DF$4&lt;&gt;1,"",COUNTIF(DF9:DF13,"ร"))</f>
        <v/>
      </c>
      <c r="DG16" s="581">
        <f>IF(DG$4&lt;&gt;1,"",COUNTIF(DG9:DG13,"ร"))</f>
        <v/>
      </c>
      <c r="DH16" s="581">
        <f>IF(DH$4&lt;&gt;1,"",COUNTIF(DH9:DH13,"ร"))</f>
        <v/>
      </c>
      <c r="DI16" s="581">
        <f>IF(DI$4&lt;&gt;1,"",COUNTIF(DI9:DI13,"ร"))</f>
        <v/>
      </c>
      <c r="DJ16" s="581">
        <f>IF(DJ$4&lt;&gt;1,"",COUNTIF(DJ9:DJ13,"ร"))</f>
        <v/>
      </c>
      <c r="DK16" s="581">
        <f>IF(DK$4&lt;&gt;1,"",COUNTIF(DK9:DK13,"ร"))</f>
        <v/>
      </c>
      <c r="DL16" s="581">
        <f>IF(DL$4&lt;&gt;1,"",COUNTIF(DL9:DL13,"ร"))</f>
        <v/>
      </c>
      <c r="DM16" s="581">
        <f>IF(DM$4&lt;&gt;1,"",COUNTIF(DM9:DM13,"ร"))</f>
        <v/>
      </c>
      <c r="DN16" s="581">
        <f>IF(DN$4&lt;&gt;1,"",COUNTIF(DN9:DN13,"ร"))</f>
        <v/>
      </c>
      <c r="DO16" s="581">
        <f>IF(DO$4&lt;&gt;1,"",COUNTIF(DO9:DO13,"ร"))</f>
        <v/>
      </c>
      <c r="DP16" s="581">
        <f>IF(DP$4&lt;&gt;1,"",COUNTIF(DP9:DP13,"ร"))</f>
        <v/>
      </c>
      <c r="DQ16" s="581">
        <f>IF(DQ$4&lt;&gt;1,"",COUNTIF(DQ9:DQ13,"ร"))</f>
        <v/>
      </c>
      <c r="DR16" s="581">
        <f>IF(DR$4&lt;&gt;1,"",COUNTIF(DR9:DR13,"ร"))</f>
        <v/>
      </c>
      <c r="DS16" s="581">
        <f>IF(DS$4&lt;&gt;1,"",COUNTIF(DS9:DS13,"ร"))</f>
        <v/>
      </c>
      <c r="DT16" s="581">
        <f>IF(DT$4&lt;&gt;1,"",COUNTIF(DT9:DT13,"ร"))</f>
        <v/>
      </c>
      <c r="DU16" s="581">
        <f>IF(DU$4&lt;&gt;1,"",COUNTIF(DU9:DU13,"ร"))</f>
        <v/>
      </c>
      <c r="DV16" s="581">
        <f>IF(DV$4&lt;&gt;1,"",COUNTIF(DV9:DV13,"ร"))</f>
        <v/>
      </c>
      <c r="DW16" s="581">
        <f>IF(DW$4&lt;&gt;1,"",COUNTIF(DW9:DW13,"ร"))</f>
        <v/>
      </c>
      <c r="DX16" s="581">
        <f>IF(DX$4&lt;&gt;1,"",COUNTIF(DX9:DX13,"ร"))</f>
        <v/>
      </c>
      <c r="DY16" s="581">
        <f>IF(DY$4&lt;&gt;1,"",COUNTIF(DY9:DY13,"ร"))</f>
        <v/>
      </c>
      <c r="DZ16" s="581">
        <f>IF(DZ$4&lt;&gt;1,"",COUNTIF(DZ9:DZ13,"ร"))</f>
        <v/>
      </c>
      <c r="EA16" s="581">
        <f>IF(EA$4&lt;&gt;1,"",COUNTIF(EA9:EA13,"ร"))</f>
        <v/>
      </c>
      <c r="EB16" s="581">
        <f>IF(EB$4&lt;&gt;1,"",COUNTIF(EB9:EB13,"ร"))</f>
        <v/>
      </c>
      <c r="EC16" s="581">
        <f>IF(EC$4&lt;&gt;1,"",COUNTIF(EC9:EC13,"ร"))</f>
        <v/>
      </c>
      <c r="ED16" s="581">
        <f>IF(ED$4&lt;&gt;1,"",COUNTIF(ED9:ED13,"ร"))</f>
        <v/>
      </c>
      <c r="EE16" s="581">
        <f>IF(EE$4&lt;&gt;1,"",COUNTIF(EE9:EE13,"ร"))</f>
        <v/>
      </c>
      <c r="EF16" s="581">
        <f>IF(EF$4&lt;&gt;1,"",COUNTIF(EF9:EF13,"ร"))</f>
        <v/>
      </c>
      <c r="EG16" s="582" t="n"/>
      <c r="EH16" s="583" t="n"/>
      <c r="EI16" s="584" t="n"/>
      <c r="EJ16" s="580">
        <f>IF(EJ$4&lt;&gt;1,"",COUNTIF(EJ9:EJ13,"ร"))</f>
        <v/>
      </c>
      <c r="EK16" s="581">
        <f>IF(EK$4&lt;&gt;1,"",COUNTIF(EK9:EK13,"ร"))</f>
        <v/>
      </c>
      <c r="EL16" s="581">
        <f>IF(EL$4&lt;&gt;1,"",COUNTIF(EL9:EL13,"ร"))</f>
        <v/>
      </c>
      <c r="EM16" s="581">
        <f>IF(EM$4&lt;&gt;1,"",COUNTIF(EM9:EM13,"ร"))</f>
        <v/>
      </c>
      <c r="EN16" s="581">
        <f>IF(EN$4&lt;&gt;1,"",COUNTIF(EN9:EN13,"ร"))</f>
        <v/>
      </c>
      <c r="EO16" s="581">
        <f>IF(EO$4&lt;&gt;1,"",COUNTIF(EO9:EO13,"ร"))</f>
        <v/>
      </c>
      <c r="EP16" s="581">
        <f>IF(EP$4&lt;&gt;1,"",COUNTIF(EP9:EP13,"ร"))</f>
        <v/>
      </c>
      <c r="EQ16" s="581">
        <f>IF(EQ$4&lt;&gt;1,"",COUNTIF(EQ9:EQ13,"ร"))</f>
        <v/>
      </c>
      <c r="ER16" s="581">
        <f>IF(ER$4&lt;&gt;1,"",COUNTIF(ER9:ER13,"ร"))</f>
        <v/>
      </c>
      <c r="ES16" s="581">
        <f>IF(ES$4&lt;&gt;1,"",COUNTIF(ES9:ES13,"ร"))</f>
        <v/>
      </c>
      <c r="ET16" s="581">
        <f>IF(ET$4&lt;&gt;1,"",COUNTIF(ET9:ET13,"ร"))</f>
        <v/>
      </c>
      <c r="EU16" s="581">
        <f>IF(EU$4&lt;&gt;1,"",COUNTIF(EU9:EU13,"ร"))</f>
        <v/>
      </c>
      <c r="EV16" s="581">
        <f>IF(EV$4&lt;&gt;1,"",COUNTIF(EV9:EV13,"ร"))</f>
        <v/>
      </c>
      <c r="EW16" s="581">
        <f>IF(EW$4&lt;&gt;1,"",COUNTIF(EW9:EW13,"ร"))</f>
        <v/>
      </c>
      <c r="EX16" s="581">
        <f>IF(EX$4&lt;&gt;1,"",COUNTIF(EX9:EX13,"ร"))</f>
        <v/>
      </c>
      <c r="EY16" s="581">
        <f>IF(EY$4&lt;&gt;1,"",COUNTIF(EY9:EY13,"ร"))</f>
        <v/>
      </c>
      <c r="EZ16" s="581">
        <f>IF(EZ$4&lt;&gt;1,"",COUNTIF(EZ9:EZ13,"ร"))</f>
        <v/>
      </c>
      <c r="FA16" s="581">
        <f>IF(FA$4&lt;&gt;1,"",COUNTIF(FA9:FA13,"ร"))</f>
        <v/>
      </c>
      <c r="FB16" s="581">
        <f>IF(FB$4&lt;&gt;1,"",COUNTIF(FB9:FB13,"ร"))</f>
        <v/>
      </c>
      <c r="FC16" s="581">
        <f>IF(FC$4&lt;&gt;1,"",COUNTIF(FC9:FC13,"ร"))</f>
        <v/>
      </c>
      <c r="FD16" s="581">
        <f>IF(FD$4&lt;&gt;1,"",COUNTIF(FD9:FD13,"ร"))</f>
        <v/>
      </c>
      <c r="FE16" s="581">
        <f>IF(FE$4&lt;&gt;1,"",COUNTIF(FE9:FE13,"ร"))</f>
        <v/>
      </c>
      <c r="FF16" s="581">
        <f>IF(FF$4&lt;&gt;1,"",COUNTIF(FF9:FF13,"ร"))</f>
        <v/>
      </c>
      <c r="FG16" s="581">
        <f>IF(FG$4&lt;&gt;1,"",COUNTIF(FG9:FG13,"ร"))</f>
        <v/>
      </c>
      <c r="FH16" s="581">
        <f>IF(FH$4&lt;&gt;1,"",COUNTIF(FH9:FH13,"ร"))</f>
        <v/>
      </c>
      <c r="FI16" s="581">
        <f>IF(FI$4&lt;&gt;1,"",COUNTIF(FI9:FI13,"ร"))</f>
        <v/>
      </c>
      <c r="FJ16" s="581">
        <f>IF(FJ$4&lt;&gt;1,"",COUNTIF(FJ9:FJ13,"ร"))</f>
        <v/>
      </c>
      <c r="FK16" s="581">
        <f>IF(FK$4&lt;&gt;1,"",COUNTIF(FK9:FK13,"ร"))</f>
        <v/>
      </c>
      <c r="FL16" s="581">
        <f>IF(FL$4&lt;&gt;1,"",COUNTIF(FL9:FL13,"ร"))</f>
        <v/>
      </c>
      <c r="FM16" s="581">
        <f>IF(FM$4&lt;&gt;1,"",COUNTIF(FM9:FM13,"ร"))</f>
        <v/>
      </c>
      <c r="FN16" s="581">
        <f>IF(FN$4&lt;&gt;1,"",COUNTIF(FN9:FN13,"ร"))</f>
        <v/>
      </c>
      <c r="FO16" s="582" t="n"/>
      <c r="FP16" s="583" t="n"/>
      <c r="FQ16" s="584" t="n"/>
      <c r="FR16" s="580">
        <f>IF(FR$4&lt;&gt;1,"",COUNTIF(FR9:FR13,"ร"))</f>
        <v/>
      </c>
      <c r="FS16" s="581">
        <f>IF(FS$4&lt;&gt;1,"",COUNTIF(FS9:FS13,"ร"))</f>
        <v/>
      </c>
      <c r="FT16" s="581">
        <f>IF(FT$4&lt;&gt;1,"",COUNTIF(FT9:FT13,"ร"))</f>
        <v/>
      </c>
      <c r="FU16" s="581">
        <f>IF(FU$4&lt;&gt;1,"",COUNTIF(FU9:FU13,"ร"))</f>
        <v/>
      </c>
      <c r="FV16" s="581">
        <f>IF(FV$4&lt;&gt;1,"",COUNTIF(FV9:FV13,"ร"))</f>
        <v/>
      </c>
      <c r="FW16" s="581">
        <f>IF(FW$4&lt;&gt;1,"",COUNTIF(FW9:FW13,"ร"))</f>
        <v/>
      </c>
      <c r="FX16" s="581">
        <f>IF(FX$4&lt;&gt;1,"",COUNTIF(FX9:FX13,"ร"))</f>
        <v/>
      </c>
      <c r="FY16" s="581">
        <f>IF(FY$4&lt;&gt;1,"",COUNTIF(FY9:FY13,"ร"))</f>
        <v/>
      </c>
      <c r="FZ16" s="581">
        <f>IF(FZ$4&lt;&gt;1,"",COUNTIF(FZ9:FZ13,"ร"))</f>
        <v/>
      </c>
      <c r="GA16" s="581">
        <f>IF(GA$4&lt;&gt;1,"",COUNTIF(GA9:GA13,"ร"))</f>
        <v/>
      </c>
      <c r="GB16" s="581">
        <f>IF(GB$4&lt;&gt;1,"",COUNTIF(GB9:GB13,"ร"))</f>
        <v/>
      </c>
      <c r="GC16" s="581">
        <f>IF(GC$4&lt;&gt;1,"",COUNTIF(GC9:GC13,"ร"))</f>
        <v/>
      </c>
      <c r="GD16" s="581">
        <f>IF(GD$4&lt;&gt;1,"",COUNTIF(GD9:GD13,"ร"))</f>
        <v/>
      </c>
      <c r="GE16" s="581">
        <f>IF(GE$4&lt;&gt;1,"",COUNTIF(GE9:GE13,"ร"))</f>
        <v/>
      </c>
      <c r="GF16" s="581">
        <f>IF(GF$4&lt;&gt;1,"",COUNTIF(GF9:GF13,"ร"))</f>
        <v/>
      </c>
      <c r="GG16" s="581">
        <f>IF(GG$4&lt;&gt;1,"",COUNTIF(GG9:GG13,"ร"))</f>
        <v/>
      </c>
      <c r="GH16" s="581">
        <f>IF(GH$4&lt;&gt;1,"",COUNTIF(GH9:GH13,"ร"))</f>
        <v/>
      </c>
      <c r="GI16" s="581">
        <f>IF(GI$4&lt;&gt;1,"",COUNTIF(GI9:GI13,"ร"))</f>
        <v/>
      </c>
      <c r="GJ16" s="581">
        <f>IF(GJ$4&lt;&gt;1,"",COUNTIF(GJ9:GJ13,"ร"))</f>
        <v/>
      </c>
      <c r="GK16" s="581">
        <f>IF(GK$4&lt;&gt;1,"",COUNTIF(GK9:GK13,"ร"))</f>
        <v/>
      </c>
      <c r="GL16" s="581">
        <f>IF(GL$4&lt;&gt;1,"",COUNTIF(GL9:GL13,"ร"))</f>
        <v/>
      </c>
      <c r="GM16" s="581">
        <f>IF(GM$4&lt;&gt;1,"",COUNTIF(GM9:GM13,"ร"))</f>
        <v/>
      </c>
      <c r="GN16" s="581">
        <f>IF(GN$4&lt;&gt;1,"",COUNTIF(GN9:GN13,"ร"))</f>
        <v/>
      </c>
      <c r="GO16" s="581">
        <f>IF(GO$4&lt;&gt;1,"",COUNTIF(GO9:GO13,"ร"))</f>
        <v/>
      </c>
      <c r="GP16" s="581">
        <f>IF(GP$4&lt;&gt;1,"",COUNTIF(GP9:GP13,"ร"))</f>
        <v/>
      </c>
      <c r="GQ16" s="581">
        <f>IF(GQ$4&lt;&gt;1,"",COUNTIF(GQ9:GQ13,"ร"))</f>
        <v/>
      </c>
      <c r="GR16" s="581">
        <f>IF(GR$4&lt;&gt;1,"",COUNTIF(GR9:GR13,"ร"))</f>
        <v/>
      </c>
      <c r="GS16" s="581">
        <f>IF(GS$4&lt;&gt;1,"",COUNTIF(GS9:GS13,"ร"))</f>
        <v/>
      </c>
      <c r="GT16" s="581">
        <f>IF(GT$4&lt;&gt;1,"",COUNTIF(GT9:GT13,"ร"))</f>
        <v/>
      </c>
      <c r="GU16" s="581">
        <f>IF(GU$4&lt;&gt;1,"",COUNTIF(GU9:GU13,"ร"))</f>
        <v/>
      </c>
      <c r="GV16" s="581">
        <f>IF(GV$4&lt;&gt;1,"",COUNTIF(GV9:GV13,"ร"))</f>
        <v/>
      </c>
      <c r="GW16" s="582" t="n"/>
      <c r="GX16" s="583" t="n"/>
      <c r="GY16" s="584" t="n"/>
    </row>
    <row r="17">
      <c r="A17" s="579" t="inlineStr"/>
      <c r="B17" s="184" t="n"/>
      <c r="C17" s="184" t="n"/>
      <c r="D17" s="585" t="n"/>
      <c r="E17" s="496" t="n"/>
      <c r="F17" s="496" t="n"/>
      <c r="G17" s="496" t="n"/>
      <c r="H17" s="496" t="n"/>
      <c r="I17" s="496" t="n"/>
      <c r="J17" s="496" t="n"/>
      <c r="K17" s="496" t="n"/>
      <c r="L17" s="496" t="n"/>
      <c r="M17" s="496" t="n"/>
      <c r="N17" s="496" t="n"/>
      <c r="O17" s="496" t="n"/>
      <c r="P17" s="496" t="n"/>
      <c r="Q17" s="496" t="n"/>
      <c r="R17" s="496" t="n"/>
      <c r="S17" s="496" t="n"/>
      <c r="T17" s="496" t="n"/>
      <c r="U17" s="496" t="n"/>
      <c r="V17" s="496" t="n"/>
      <c r="W17" s="496" t="n"/>
      <c r="X17" s="496" t="n"/>
      <c r="Y17" s="496" t="n"/>
      <c r="Z17" s="496" t="n"/>
      <c r="AA17" s="496" t="n"/>
      <c r="AB17" s="496" t="n"/>
      <c r="AC17" s="496" t="n"/>
      <c r="AD17" s="496" t="n"/>
      <c r="AE17" s="496" t="n"/>
      <c r="AF17" s="496" t="n"/>
      <c r="AG17" s="496" t="n"/>
      <c r="AH17" s="496" t="n"/>
      <c r="AI17" s="582" t="n"/>
      <c r="AJ17" s="583" t="n"/>
      <c r="AK17" s="584" t="n"/>
      <c r="AL17" s="585" t="n"/>
      <c r="AM17" s="496" t="n"/>
      <c r="AN17" s="496" t="n"/>
      <c r="AO17" s="496" t="n"/>
      <c r="AP17" s="496" t="n"/>
      <c r="AQ17" s="496" t="n"/>
      <c r="AR17" s="496" t="n"/>
      <c r="AS17" s="496" t="n"/>
      <c r="AT17" s="496" t="n"/>
      <c r="AU17" s="496" t="n"/>
      <c r="AV17" s="496" t="n"/>
      <c r="AW17" s="496" t="n"/>
      <c r="AX17" s="496" t="n"/>
      <c r="AY17" s="496" t="n"/>
      <c r="AZ17" s="496" t="n"/>
      <c r="BA17" s="496" t="n"/>
      <c r="BB17" s="496" t="n"/>
      <c r="BC17" s="496" t="n"/>
      <c r="BD17" s="496" t="n"/>
      <c r="BE17" s="496" t="n"/>
      <c r="BF17" s="496" t="n"/>
      <c r="BG17" s="496" t="n"/>
      <c r="BH17" s="496" t="n"/>
      <c r="BI17" s="496" t="n"/>
      <c r="BJ17" s="496" t="n"/>
      <c r="BK17" s="496" t="n"/>
      <c r="BL17" s="496" t="n"/>
      <c r="BM17" s="496" t="n"/>
      <c r="BN17" s="496" t="n"/>
      <c r="BO17" s="496" t="n"/>
      <c r="BP17" s="496" t="n"/>
      <c r="BQ17" s="582" t="n"/>
      <c r="BR17" s="583" t="n"/>
      <c r="BS17" s="584" t="n"/>
      <c r="BT17" s="585" t="n"/>
      <c r="BU17" s="496" t="n"/>
      <c r="BV17" s="496" t="n"/>
      <c r="BW17" s="496" t="n"/>
      <c r="BX17" s="496" t="n"/>
      <c r="BY17" s="496" t="n"/>
      <c r="BZ17" s="496" t="n"/>
      <c r="CA17" s="496" t="n"/>
      <c r="CB17" s="496" t="n"/>
      <c r="CC17" s="496" t="n"/>
      <c r="CD17" s="496" t="n"/>
      <c r="CE17" s="496" t="n"/>
      <c r="CF17" s="496" t="n"/>
      <c r="CG17" s="496" t="n"/>
      <c r="CH17" s="496" t="n"/>
      <c r="CI17" s="496" t="n"/>
      <c r="CJ17" s="496" t="n"/>
      <c r="CK17" s="496" t="n"/>
      <c r="CL17" s="496" t="n"/>
      <c r="CM17" s="496" t="n"/>
      <c r="CN17" s="496" t="n"/>
      <c r="CO17" s="496" t="n"/>
      <c r="CP17" s="496" t="n"/>
      <c r="CQ17" s="496" t="n"/>
      <c r="CR17" s="496" t="n"/>
      <c r="CS17" s="496" t="n"/>
      <c r="CT17" s="496" t="n"/>
      <c r="CU17" s="496" t="n"/>
      <c r="CV17" s="496" t="n"/>
      <c r="CW17" s="496" t="n"/>
      <c r="CX17" s="496" t="n"/>
      <c r="CY17" s="582" t="n"/>
      <c r="CZ17" s="583" t="n"/>
      <c r="DA17" s="584" t="n"/>
      <c r="DB17" s="585" t="n"/>
      <c r="DC17" s="496" t="n"/>
      <c r="DD17" s="496" t="n"/>
      <c r="DE17" s="496" t="n"/>
      <c r="DF17" s="496" t="n"/>
      <c r="DG17" s="496" t="n"/>
      <c r="DH17" s="496" t="n"/>
      <c r="DI17" s="496" t="n"/>
      <c r="DJ17" s="496" t="n"/>
      <c r="DK17" s="496" t="n"/>
      <c r="DL17" s="496" t="n"/>
      <c r="DM17" s="496" t="n"/>
      <c r="DN17" s="496" t="n"/>
      <c r="DO17" s="496" t="n"/>
      <c r="DP17" s="496" t="n"/>
      <c r="DQ17" s="496" t="n"/>
      <c r="DR17" s="496" t="n"/>
      <c r="DS17" s="496" t="n"/>
      <c r="DT17" s="496" t="n"/>
      <c r="DU17" s="496" t="n"/>
      <c r="DV17" s="496" t="n"/>
      <c r="DW17" s="496" t="n"/>
      <c r="DX17" s="496" t="n"/>
      <c r="DY17" s="496" t="n"/>
      <c r="DZ17" s="496" t="n"/>
      <c r="EA17" s="496" t="n"/>
      <c r="EB17" s="496" t="n"/>
      <c r="EC17" s="496" t="n"/>
      <c r="ED17" s="496" t="n"/>
      <c r="EE17" s="496" t="n"/>
      <c r="EF17" s="496" t="n"/>
      <c r="EG17" s="582" t="n"/>
      <c r="EH17" s="583" t="n"/>
      <c r="EI17" s="584" t="n"/>
      <c r="EJ17" s="585" t="n"/>
      <c r="EK17" s="496" t="n"/>
      <c r="EL17" s="496" t="n"/>
      <c r="EM17" s="496" t="n"/>
      <c r="EN17" s="496" t="n"/>
      <c r="EO17" s="496" t="n"/>
      <c r="EP17" s="496" t="n"/>
      <c r="EQ17" s="496" t="n"/>
      <c r="ER17" s="496" t="n"/>
      <c r="ES17" s="496" t="n"/>
      <c r="ET17" s="496" t="n"/>
      <c r="EU17" s="496" t="n"/>
      <c r="EV17" s="496" t="n"/>
      <c r="EW17" s="496" t="n"/>
      <c r="EX17" s="496" t="n"/>
      <c r="EY17" s="496" t="n"/>
      <c r="EZ17" s="496" t="n"/>
      <c r="FA17" s="496" t="n"/>
      <c r="FB17" s="496" t="n"/>
      <c r="FC17" s="496" t="n"/>
      <c r="FD17" s="496" t="n"/>
      <c r="FE17" s="496" t="n"/>
      <c r="FF17" s="496" t="n"/>
      <c r="FG17" s="496" t="n"/>
      <c r="FH17" s="496" t="n"/>
      <c r="FI17" s="496" t="n"/>
      <c r="FJ17" s="496" t="n"/>
      <c r="FK17" s="496" t="n"/>
      <c r="FL17" s="496" t="n"/>
      <c r="FM17" s="496" t="n"/>
      <c r="FN17" s="496" t="n"/>
      <c r="FO17" s="582" t="n"/>
      <c r="FP17" s="583" t="n"/>
      <c r="FQ17" s="584" t="n"/>
      <c r="FR17" s="585" t="n"/>
      <c r="FS17" s="496" t="n"/>
      <c r="FT17" s="496" t="n"/>
      <c r="FU17" s="496" t="n"/>
      <c r="FV17" s="496" t="n"/>
      <c r="FW17" s="496" t="n"/>
      <c r="FX17" s="496" t="n"/>
      <c r="FY17" s="496" t="n"/>
      <c r="FZ17" s="496" t="n"/>
      <c r="GA17" s="496" t="n"/>
      <c r="GB17" s="496" t="n"/>
      <c r="GC17" s="496" t="n"/>
      <c r="GD17" s="496" t="n"/>
      <c r="GE17" s="496" t="n"/>
      <c r="GF17" s="496" t="n"/>
      <c r="GG17" s="496" t="n"/>
      <c r="GH17" s="496" t="n"/>
      <c r="GI17" s="496" t="n"/>
      <c r="GJ17" s="496" t="n"/>
      <c r="GK17" s="496" t="n"/>
      <c r="GL17" s="496" t="n"/>
      <c r="GM17" s="496" t="n"/>
      <c r="GN17" s="496" t="n"/>
      <c r="GO17" s="496" t="n"/>
      <c r="GP17" s="496" t="n"/>
      <c r="GQ17" s="496" t="n"/>
      <c r="GR17" s="496" t="n"/>
      <c r="GS17" s="496" t="n"/>
      <c r="GT17" s="496" t="n"/>
      <c r="GU17" s="496" t="n"/>
      <c r="GV17" s="496" t="n"/>
      <c r="GW17" s="582" t="n"/>
      <c r="GX17" s="583" t="n"/>
      <c r="GY17" s="58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">
      <formula>D9="น"</formula>
    </cfRule>
    <cfRule type="expression" priority="16" dxfId="11">
      <formula>D9="พ"</formula>
    </cfRule>
    <cfRule type="expression" priority="17" dxfId="2">
      <formula>D9="อ"</formula>
    </cfRule>
    <cfRule type="expression" priority="18" dxfId="11">
      <formula>D9="ช"</formula>
    </cfRule>
    <cfRule type="expression" priority="19" dxfId="1">
      <formula>D9="ร"</formula>
    </cfRule>
    <cfRule type="expression" priority="20" dxfId="12">
      <formula>D9="ผ"</formula>
    </cfRule>
    <cfRule type="expression" priority="21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AL9:BP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BT9:CX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DB9:EF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EJ9:FN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FR9:GV13" showDropDown="0" showInputMessage="0" showErrorMessage="0" allowBlank="1" errorTitle="ตรวจสอบข้อมูล" error="ใช้รหัส: อ  ช  ร  ผ" type="list">
      <formula1>"อ,ช,ร,ผ"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tabColor rgb="005BC4D2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559" t="inlineStr">
        <is>
          <t>🏠</t>
        </is>
      </c>
      <c r="B1" s="560" t="n"/>
      <c r="C1" s="560" t="n"/>
      <c r="D1" s="560" t="n"/>
      <c r="E1" s="560" t="n"/>
      <c r="F1" s="560" t="n"/>
      <c r="G1" s="560" t="n"/>
      <c r="H1" s="560" t="n"/>
      <c r="I1" s="560" t="n"/>
      <c r="J1" s="560" t="n"/>
      <c r="K1" s="560" t="n"/>
      <c r="L1" s="560" t="n"/>
      <c r="M1" s="560" t="n"/>
      <c r="N1" s="560" t="n"/>
      <c r="O1" s="560" t="n"/>
      <c r="P1" s="560" t="n"/>
      <c r="Q1" s="560" t="n"/>
      <c r="R1" s="560" t="n"/>
      <c r="S1" s="560" t="n"/>
      <c r="T1" s="560" t="n"/>
      <c r="U1" s="560" t="n"/>
      <c r="V1" s="560" t="n"/>
      <c r="W1" s="560" t="n"/>
      <c r="X1" s="560" t="n"/>
      <c r="Y1" s="560" t="n"/>
      <c r="Z1" s="560" t="n"/>
      <c r="AA1" s="560" t="n"/>
      <c r="AB1" s="560" t="n"/>
      <c r="AC1" s="560" t="n"/>
      <c r="AD1" s="560" t="n"/>
      <c r="AE1" s="560" t="n"/>
      <c r="AF1" s="560" t="n"/>
      <c r="AG1" s="560" t="n"/>
      <c r="AH1" s="560" t="n"/>
      <c r="AI1" s="560" t="n"/>
      <c r="AJ1" s="560" t="n"/>
      <c r="AK1" s="560" t="n"/>
      <c r="AL1" s="560" t="n"/>
      <c r="AM1" s="560" t="n"/>
      <c r="AN1" s="560" t="n"/>
      <c r="AO1" s="560" t="n"/>
      <c r="AP1" s="560" t="n"/>
      <c r="AQ1" s="560" t="n"/>
      <c r="AR1" s="560" t="n"/>
      <c r="AS1" s="560" t="n"/>
      <c r="AT1" s="560" t="n"/>
      <c r="AU1" s="560" t="n"/>
      <c r="AV1" s="560" t="n"/>
      <c r="AW1" s="560" t="n"/>
      <c r="AX1" s="560" t="n"/>
      <c r="AY1" s="560" t="n"/>
      <c r="AZ1" s="560" t="n"/>
      <c r="BA1" s="560" t="n"/>
      <c r="BB1" s="560" t="n"/>
      <c r="BC1" s="560" t="n"/>
      <c r="BD1" s="560" t="n"/>
      <c r="BE1" s="560" t="n"/>
      <c r="BF1" s="560" t="n"/>
      <c r="BG1" s="560" t="n"/>
      <c r="BH1" s="560" t="n"/>
      <c r="BI1" s="560" t="n"/>
      <c r="BJ1" s="560" t="n"/>
      <c r="BK1" s="560" t="n"/>
      <c r="BL1" s="560" t="n"/>
      <c r="BM1" s="560" t="n"/>
      <c r="BN1" s="560" t="n"/>
      <c r="BO1" s="560" t="n"/>
      <c r="BP1" s="560" t="n"/>
      <c r="BQ1" s="560" t="n"/>
      <c r="BR1" s="560" t="n"/>
      <c r="BS1" s="560" t="n"/>
      <c r="BT1" s="560" t="n"/>
      <c r="BU1" s="560" t="n"/>
      <c r="BV1" s="560" t="n"/>
      <c r="BW1" s="560" t="n"/>
      <c r="BX1" s="560" t="n"/>
      <c r="BY1" s="560" t="n"/>
      <c r="BZ1" s="560" t="n"/>
      <c r="CA1" s="560" t="n"/>
      <c r="CB1" s="560" t="n"/>
      <c r="CC1" s="560" t="n"/>
      <c r="CD1" s="560" t="n"/>
      <c r="CE1" s="560" t="n"/>
      <c r="CF1" s="560" t="n"/>
      <c r="CG1" s="560" t="n"/>
      <c r="CH1" s="560" t="n"/>
      <c r="CI1" s="560" t="n"/>
      <c r="CJ1" s="560" t="n"/>
      <c r="CK1" s="560" t="n"/>
      <c r="CL1" s="560" t="n"/>
      <c r="CM1" s="560" t="n"/>
      <c r="CN1" s="560" t="n"/>
      <c r="CO1" s="560" t="n"/>
      <c r="CP1" s="560" t="n"/>
      <c r="CQ1" s="560" t="n"/>
      <c r="CR1" s="560" t="n"/>
      <c r="CS1" s="560" t="n"/>
      <c r="CT1" s="560" t="n"/>
      <c r="CU1" s="560" t="n"/>
      <c r="CV1" s="560" t="n"/>
      <c r="CW1" s="560" t="n"/>
      <c r="CX1" s="560" t="n"/>
      <c r="CY1" s="560" t="n"/>
      <c r="CZ1" s="560" t="n"/>
      <c r="DA1" s="560" t="n"/>
      <c r="DB1" s="560" t="n"/>
      <c r="DC1" s="560" t="n"/>
      <c r="DD1" s="560" t="n"/>
      <c r="DE1" s="560" t="n"/>
      <c r="DF1" s="560" t="n"/>
      <c r="DG1" s="560" t="n"/>
      <c r="DH1" s="560" t="n"/>
      <c r="DI1" s="560" t="n"/>
      <c r="DJ1" s="560" t="n"/>
      <c r="DK1" s="560" t="n"/>
      <c r="DL1" s="560" t="n"/>
      <c r="DM1" s="560" t="n"/>
      <c r="DN1" s="560" t="n"/>
      <c r="DO1" s="560" t="n"/>
      <c r="DP1" s="560" t="n"/>
      <c r="DQ1" s="560" t="n"/>
      <c r="DR1" s="560" t="n"/>
      <c r="DS1" s="560" t="n"/>
      <c r="DT1" s="560" t="n"/>
      <c r="DU1" s="560" t="n"/>
      <c r="DV1" s="560" t="n"/>
      <c r="DW1" s="560" t="n"/>
      <c r="DX1" s="560" t="n"/>
      <c r="DY1" s="560" t="n"/>
      <c r="DZ1" s="560" t="n"/>
      <c r="EA1" s="560" t="n"/>
      <c r="EB1" s="560" t="n"/>
      <c r="EC1" s="560" t="n"/>
      <c r="ED1" s="560" t="n"/>
      <c r="EE1" s="560" t="n"/>
      <c r="EF1" s="560" t="n"/>
      <c r="EG1" s="560" t="n"/>
      <c r="EH1" s="560" t="n"/>
      <c r="EI1" s="560" t="n"/>
      <c r="EJ1" s="560" t="n"/>
      <c r="EK1" s="560" t="n"/>
      <c r="EL1" s="560" t="n"/>
      <c r="EM1" s="560" t="n"/>
      <c r="EN1" s="560" t="n"/>
      <c r="EO1" s="560" t="n"/>
      <c r="EP1" s="560" t="n"/>
      <c r="EQ1" s="560" t="n"/>
      <c r="ER1" s="560" t="n"/>
      <c r="ES1" s="560" t="n"/>
      <c r="ET1" s="560" t="n"/>
      <c r="EU1" s="560" t="n"/>
      <c r="EV1" s="560" t="n"/>
      <c r="EW1" s="560" t="n"/>
      <c r="EX1" s="560" t="n"/>
      <c r="EY1" s="560" t="n"/>
      <c r="EZ1" s="560" t="n"/>
      <c r="FA1" s="560" t="n"/>
      <c r="FB1" s="560" t="n"/>
      <c r="FC1" s="560" t="n"/>
      <c r="FD1" s="560" t="n"/>
      <c r="FE1" s="560" t="n"/>
      <c r="FF1" s="560" t="n"/>
      <c r="FG1" s="560" t="n"/>
      <c r="FH1" s="560" t="n"/>
      <c r="FI1" s="560" t="n"/>
      <c r="FJ1" s="560" t="n"/>
      <c r="FK1" s="560" t="n"/>
      <c r="FL1" s="560" t="n"/>
      <c r="FM1" s="560" t="n"/>
      <c r="FN1" s="560" t="n"/>
      <c r="FO1" s="560" t="n"/>
      <c r="FP1" s="560" t="n"/>
      <c r="FQ1" s="560" t="n"/>
    </row>
    <row r="2" ht="20" customHeight="1">
      <c r="A2" s="561" t="inlineStr">
        <is>
          <t>หน้าหลัก</t>
        </is>
      </c>
      <c r="B2" s="56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63" t="n"/>
      <c r="D2" s="563" t="n"/>
      <c r="E2" s="563" t="n"/>
      <c r="F2" s="563" t="n"/>
      <c r="G2" s="563" t="n"/>
      <c r="H2" s="563" t="n"/>
      <c r="I2" s="563" t="n"/>
      <c r="J2" s="563" t="n"/>
      <c r="K2" s="563" t="n"/>
      <c r="L2" s="563" t="n"/>
      <c r="M2" s="563" t="n"/>
      <c r="N2" s="563" t="n"/>
      <c r="O2" s="563" t="n"/>
      <c r="P2" s="563" t="n"/>
      <c r="Q2" s="563" t="n"/>
      <c r="R2" s="563" t="n"/>
      <c r="S2" s="563" t="n"/>
      <c r="T2" s="563" t="n"/>
      <c r="U2" s="563" t="n"/>
      <c r="V2" s="563" t="n"/>
      <c r="W2" s="563" t="n"/>
      <c r="X2" s="563" t="n"/>
      <c r="Y2" s="563" t="n"/>
      <c r="Z2" s="563" t="n"/>
      <c r="AA2" s="563" t="n"/>
      <c r="AB2" s="563" t="n"/>
      <c r="AC2" s="563" t="n"/>
      <c r="AD2" s="563" t="n"/>
      <c r="AE2" s="563" t="n"/>
      <c r="AF2" s="563" t="n"/>
      <c r="AG2" s="563" t="n"/>
      <c r="AH2" s="563" t="n"/>
      <c r="AI2" s="563" t="n"/>
      <c r="AJ2" s="563" t="n"/>
      <c r="AK2" s="563" t="n"/>
      <c r="AL2" s="563" t="n"/>
      <c r="AM2" s="563" t="n"/>
      <c r="AN2" s="563" t="n"/>
      <c r="AO2" s="563" t="n"/>
      <c r="AP2" s="563" t="n"/>
      <c r="AQ2" s="563" t="n"/>
      <c r="AR2" s="563" t="n"/>
      <c r="AS2" s="563" t="n"/>
      <c r="AT2" s="563" t="n"/>
      <c r="AU2" s="563" t="n"/>
      <c r="AV2" s="563" t="n"/>
      <c r="AW2" s="563" t="n"/>
      <c r="AX2" s="563" t="n"/>
      <c r="AY2" s="563" t="n"/>
      <c r="AZ2" s="563" t="n"/>
      <c r="BA2" s="563" t="n"/>
      <c r="BB2" s="563" t="n"/>
      <c r="BC2" s="563" t="n"/>
      <c r="BD2" s="563" t="n"/>
      <c r="BE2" s="563" t="n"/>
      <c r="BF2" s="563" t="n"/>
      <c r="BG2" s="563" t="n"/>
      <c r="BH2" s="563" t="n"/>
      <c r="BI2" s="563" t="n"/>
      <c r="BJ2" s="563" t="n"/>
      <c r="BK2" s="563" t="n"/>
      <c r="BL2" s="563" t="n"/>
      <c r="BM2" s="563" t="n"/>
      <c r="BN2" s="563" t="n"/>
      <c r="BO2" s="563" t="n"/>
      <c r="BP2" s="563" t="n"/>
      <c r="BQ2" s="563" t="n"/>
      <c r="BR2" s="563" t="n"/>
      <c r="BS2" s="563" t="n"/>
      <c r="BT2" s="563" t="n"/>
      <c r="BU2" s="563" t="n"/>
      <c r="BV2" s="563" t="n"/>
      <c r="BW2" s="563" t="n"/>
      <c r="BX2" s="563" t="n"/>
      <c r="BY2" s="563" t="n"/>
      <c r="BZ2" s="563" t="n"/>
      <c r="CA2" s="563" t="n"/>
      <c r="CB2" s="563" t="n"/>
      <c r="CC2" s="563" t="n"/>
      <c r="CD2" s="563" t="n"/>
      <c r="CE2" s="563" t="n"/>
      <c r="CF2" s="563" t="n"/>
      <c r="CG2" s="563" t="n"/>
      <c r="CH2" s="563" t="n"/>
      <c r="CI2" s="563" t="n"/>
      <c r="CJ2" s="563" t="n"/>
      <c r="CK2" s="563" t="n"/>
      <c r="CL2" s="563" t="n"/>
      <c r="CM2" s="563" t="n"/>
      <c r="CN2" s="563" t="n"/>
      <c r="CO2" s="563" t="n"/>
      <c r="CP2" s="563" t="n"/>
      <c r="CQ2" s="563" t="n"/>
      <c r="CR2" s="563" t="n"/>
      <c r="CS2" s="563" t="n"/>
      <c r="CT2" s="563" t="n"/>
      <c r="CU2" s="563" t="n"/>
      <c r="CV2" s="563" t="n"/>
      <c r="CW2" s="563" t="n"/>
      <c r="CX2" s="563" t="n"/>
      <c r="CY2" s="563" t="n"/>
      <c r="CZ2" s="563" t="n"/>
      <c r="DA2" s="563" t="n"/>
      <c r="DB2" s="563" t="n"/>
      <c r="DC2" s="563" t="n"/>
      <c r="DD2" s="563" t="n"/>
      <c r="DE2" s="563" t="n"/>
      <c r="DF2" s="563" t="n"/>
      <c r="DG2" s="563" t="n"/>
      <c r="DH2" s="563" t="n"/>
      <c r="DI2" s="563" t="n"/>
      <c r="DJ2" s="563" t="n"/>
      <c r="DK2" s="563" t="n"/>
      <c r="DL2" s="563" t="n"/>
      <c r="DM2" s="563" t="n"/>
      <c r="DN2" s="563" t="n"/>
      <c r="DO2" s="563" t="n"/>
      <c r="DP2" s="563" t="n"/>
      <c r="DQ2" s="563" t="n"/>
      <c r="DR2" s="563" t="n"/>
      <c r="DS2" s="563" t="n"/>
      <c r="DT2" s="563" t="n"/>
      <c r="DU2" s="563" t="n"/>
      <c r="DV2" s="563" t="n"/>
      <c r="DW2" s="563" t="n"/>
      <c r="DX2" s="563" t="n"/>
      <c r="DY2" s="563" t="n"/>
      <c r="DZ2" s="563" t="n"/>
      <c r="EA2" s="563" t="n"/>
      <c r="EB2" s="563" t="n"/>
      <c r="EC2" s="563" t="n"/>
      <c r="ED2" s="563" t="n"/>
      <c r="EE2" s="563" t="n"/>
      <c r="EF2" s="563" t="n"/>
      <c r="EG2" s="563" t="n"/>
      <c r="EH2" s="563" t="n"/>
      <c r="EI2" s="563" t="n"/>
      <c r="EJ2" s="563" t="n"/>
      <c r="EK2" s="563" t="n"/>
      <c r="EL2" s="563" t="n"/>
      <c r="EM2" s="563" t="n"/>
      <c r="EN2" s="563" t="n"/>
      <c r="EO2" s="563" t="n"/>
      <c r="EP2" s="563" t="n"/>
      <c r="EQ2" s="563" t="n"/>
      <c r="ER2" s="563" t="n"/>
      <c r="ES2" s="563" t="n"/>
      <c r="ET2" s="563" t="n"/>
      <c r="EU2" s="563" t="n"/>
      <c r="EV2" s="563" t="n"/>
      <c r="EW2" s="563" t="n"/>
      <c r="EX2" s="563" t="n"/>
      <c r="EY2" s="563" t="n"/>
      <c r="EZ2" s="563" t="n"/>
      <c r="FA2" s="563" t="n"/>
      <c r="FB2" s="563" t="n"/>
      <c r="FC2" s="563" t="n"/>
      <c r="FD2" s="563" t="n"/>
      <c r="FE2" s="563" t="n"/>
      <c r="FF2" s="563" t="n"/>
      <c r="FG2" s="563" t="n"/>
      <c r="FH2" s="563" t="n"/>
      <c r="FI2" s="563" t="n"/>
      <c r="FJ2" s="563" t="n"/>
      <c r="FK2" s="563" t="n"/>
      <c r="FL2" s="563" t="n"/>
      <c r="FM2" s="563" t="n"/>
      <c r="FN2" s="563" t="n"/>
      <c r="FO2" s="563" t="n"/>
      <c r="FP2" s="563" t="n"/>
      <c r="FQ2" s="563" t="n"/>
    </row>
    <row r="3" ht="18" customHeight="1">
      <c r="B3" s="564" t="inlineStr">
        <is>
          <t>รหัส   อ = เข้าห้องน้ำเองได้     ช = ครูช่วยเหลือ     ร = ราด / เปียก     ผ = ใส่ผ้าอ้อม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214" t="inlineStr">
        <is>
          <t>เลขที่</t>
        </is>
      </c>
      <c r="B5" s="214" t="inlineStr">
        <is>
          <t>ชื่อ - สกุล</t>
        </is>
      </c>
      <c r="C5" s="473" t="inlineStr">
        <is>
          <t>ร้อยละ
ทำเองได้</t>
        </is>
      </c>
      <c r="D5" s="565">
        <f>"เดือนพฤศจิกายน  พ.ศ. "&amp;('ข้อมูลโรงเรียน'!$C$12-543+543)</f>
        <v/>
      </c>
      <c r="AI5" s="566" t="inlineStr">
        <is>
          <t>สรุป พ.ย.</t>
        </is>
      </c>
      <c r="AL5" s="565">
        <f>"เดือนธันวาคม  พ.ศ. "&amp;('ข้อมูลโรงเรียน'!$C$12-543+543)</f>
        <v/>
      </c>
      <c r="BQ5" s="566" t="inlineStr">
        <is>
          <t>สรุป ธ.ค.</t>
        </is>
      </c>
      <c r="BT5" s="565">
        <f>"เดือนมกราคม  พ.ศ. "&amp;('ข้อมูลโรงเรียน'!$C$12-542+543)</f>
        <v/>
      </c>
      <c r="CY5" s="566" t="inlineStr">
        <is>
          <t>สรุป ม.ค.</t>
        </is>
      </c>
      <c r="DB5" s="565">
        <f>"เดือนกุมภาพันธ์  พ.ศ. "&amp;('ข้อมูลโรงเรียน'!$C$12-542+543)</f>
        <v/>
      </c>
      <c r="EG5" s="566" t="inlineStr">
        <is>
          <t>สรุป ก.พ.</t>
        </is>
      </c>
      <c r="EJ5" s="565">
        <f>"เดือนมีนาคม  พ.ศ. "&amp;('ข้อมูลโรงเรียน'!$C$12-542+543)</f>
        <v/>
      </c>
      <c r="FO5" s="566" t="inlineStr">
        <is>
          <t>สรุป มี.ค.</t>
        </is>
      </c>
    </row>
    <row r="6">
      <c r="D6" s="567">
        <f>IF('ปฏิทิน'!D5="","",DAY('ปฏิทิน'!D5))</f>
        <v/>
      </c>
      <c r="E6" s="473">
        <f>IF('ปฏิทิน'!E5="","",DAY('ปฏิทิน'!E5))</f>
        <v/>
      </c>
      <c r="F6" s="473">
        <f>IF('ปฏิทิน'!F5="","",DAY('ปฏิทิน'!F5))</f>
        <v/>
      </c>
      <c r="G6" s="473">
        <f>IF('ปฏิทิน'!G5="","",DAY('ปฏิทิน'!G5))</f>
        <v/>
      </c>
      <c r="H6" s="473">
        <f>IF('ปฏิทิน'!H5="","",DAY('ปฏิทิน'!H5))</f>
        <v/>
      </c>
      <c r="I6" s="473">
        <f>IF('ปฏิทิน'!I5="","",DAY('ปฏิทิน'!I5))</f>
        <v/>
      </c>
      <c r="J6" s="473">
        <f>IF('ปฏิทิน'!J5="","",DAY('ปฏิทิน'!J5))</f>
        <v/>
      </c>
      <c r="K6" s="473">
        <f>IF('ปฏิทิน'!K5="","",DAY('ปฏิทิน'!K5))</f>
        <v/>
      </c>
      <c r="L6" s="473">
        <f>IF('ปฏิทิน'!L5="","",DAY('ปฏิทิน'!L5))</f>
        <v/>
      </c>
      <c r="M6" s="473">
        <f>IF('ปฏิทิน'!M5="","",DAY('ปฏิทิน'!M5))</f>
        <v/>
      </c>
      <c r="N6" s="473">
        <f>IF('ปฏิทิน'!N5="","",DAY('ปฏิทิน'!N5))</f>
        <v/>
      </c>
      <c r="O6" s="473">
        <f>IF('ปฏิทิน'!O5="","",DAY('ปฏิทิน'!O5))</f>
        <v/>
      </c>
      <c r="P6" s="473">
        <f>IF('ปฏิทิน'!P5="","",DAY('ปฏิทิน'!P5))</f>
        <v/>
      </c>
      <c r="Q6" s="473">
        <f>IF('ปฏิทิน'!Q5="","",DAY('ปฏิทิน'!Q5))</f>
        <v/>
      </c>
      <c r="R6" s="473">
        <f>IF('ปฏิทิน'!R5="","",DAY('ปฏิทิน'!R5))</f>
        <v/>
      </c>
      <c r="S6" s="473">
        <f>IF('ปฏิทิน'!S5="","",DAY('ปฏิทิน'!S5))</f>
        <v/>
      </c>
      <c r="T6" s="473">
        <f>IF('ปฏิทิน'!T5="","",DAY('ปฏิทิน'!T5))</f>
        <v/>
      </c>
      <c r="U6" s="473">
        <f>IF('ปฏิทิน'!U5="","",DAY('ปฏิทิน'!U5))</f>
        <v/>
      </c>
      <c r="V6" s="473">
        <f>IF('ปฏิทิน'!V5="","",DAY('ปฏิทิน'!V5))</f>
        <v/>
      </c>
      <c r="W6" s="473">
        <f>IF('ปฏิทิน'!W5="","",DAY('ปฏิทิน'!W5))</f>
        <v/>
      </c>
      <c r="X6" s="473">
        <f>IF('ปฏิทิน'!X5="","",DAY('ปฏิทิน'!X5))</f>
        <v/>
      </c>
      <c r="Y6" s="473">
        <f>IF('ปฏิทิน'!Y5="","",DAY('ปฏิทิน'!Y5))</f>
        <v/>
      </c>
      <c r="Z6" s="473">
        <f>IF('ปฏิทิน'!Z5="","",DAY('ปฏิทิน'!Z5))</f>
        <v/>
      </c>
      <c r="AA6" s="473">
        <f>IF('ปฏิทิน'!AA5="","",DAY('ปฏิทิน'!AA5))</f>
        <v/>
      </c>
      <c r="AB6" s="473">
        <f>IF('ปฏิทิน'!AB5="","",DAY('ปฏิทิน'!AB5))</f>
        <v/>
      </c>
      <c r="AC6" s="473">
        <f>IF('ปฏิทิน'!AC5="","",DAY('ปฏิทิน'!AC5))</f>
        <v/>
      </c>
      <c r="AD6" s="473">
        <f>IF('ปฏิทิน'!AD5="","",DAY('ปฏิทิน'!AD5))</f>
        <v/>
      </c>
      <c r="AE6" s="473">
        <f>IF('ปฏิทิน'!AE5="","",DAY('ปฏิทิน'!AE5))</f>
        <v/>
      </c>
      <c r="AF6" s="473">
        <f>IF('ปฏิทิน'!AF5="","",DAY('ปฏิทิน'!AF5))</f>
        <v/>
      </c>
      <c r="AG6" s="473">
        <f>IF('ปฏิทิน'!AG5="","",DAY('ปฏิทิน'!AG5))</f>
        <v/>
      </c>
      <c r="AH6" s="473">
        <f>IF('ปฏิทิน'!AH5="","",DAY('ปฏิทิน'!AH5))</f>
        <v/>
      </c>
      <c r="AI6" s="568" t="inlineStr">
        <is>
          <t>ทำ
เอง</t>
        </is>
      </c>
      <c r="AJ6" s="569" t="inlineStr">
        <is>
          <t>ช่วย/
ผ้าอ้อม</t>
        </is>
      </c>
      <c r="AK6" s="570" t="inlineStr">
        <is>
          <t>ราด</t>
        </is>
      </c>
      <c r="AL6" s="567">
        <f>IF('ปฏิทิน'!AL5="","",DAY('ปฏิทิน'!AL5))</f>
        <v/>
      </c>
      <c r="AM6" s="473">
        <f>IF('ปฏิทิน'!AM5="","",DAY('ปฏิทิน'!AM5))</f>
        <v/>
      </c>
      <c r="AN6" s="473">
        <f>IF('ปฏิทิน'!AN5="","",DAY('ปฏิทิน'!AN5))</f>
        <v/>
      </c>
      <c r="AO6" s="473">
        <f>IF('ปฏิทิน'!AO5="","",DAY('ปฏิทิน'!AO5))</f>
        <v/>
      </c>
      <c r="AP6" s="473">
        <f>IF('ปฏิทิน'!AP5="","",DAY('ปฏิทิน'!AP5))</f>
        <v/>
      </c>
      <c r="AQ6" s="473">
        <f>IF('ปฏิทิน'!AQ5="","",DAY('ปฏิทิน'!AQ5))</f>
        <v/>
      </c>
      <c r="AR6" s="473">
        <f>IF('ปฏิทิน'!AR5="","",DAY('ปฏิทิน'!AR5))</f>
        <v/>
      </c>
      <c r="AS6" s="473">
        <f>IF('ปฏิทิน'!AS5="","",DAY('ปฏิทิน'!AS5))</f>
        <v/>
      </c>
      <c r="AT6" s="473">
        <f>IF('ปฏิทิน'!AT5="","",DAY('ปฏิทิน'!AT5))</f>
        <v/>
      </c>
      <c r="AU6" s="473">
        <f>IF('ปฏิทิน'!AU5="","",DAY('ปฏิทิน'!AU5))</f>
        <v/>
      </c>
      <c r="AV6" s="473">
        <f>IF('ปฏิทิน'!AV5="","",DAY('ปฏิทิน'!AV5))</f>
        <v/>
      </c>
      <c r="AW6" s="473">
        <f>IF('ปฏิทิน'!AW5="","",DAY('ปฏิทิน'!AW5))</f>
        <v/>
      </c>
      <c r="AX6" s="473">
        <f>IF('ปฏิทิน'!AX5="","",DAY('ปฏิทิน'!AX5))</f>
        <v/>
      </c>
      <c r="AY6" s="473">
        <f>IF('ปฏิทิน'!AY5="","",DAY('ปฏิทิน'!AY5))</f>
        <v/>
      </c>
      <c r="AZ6" s="473">
        <f>IF('ปฏิทิน'!AZ5="","",DAY('ปฏิทิน'!AZ5))</f>
        <v/>
      </c>
      <c r="BA6" s="473">
        <f>IF('ปฏิทิน'!BA5="","",DAY('ปฏิทิน'!BA5))</f>
        <v/>
      </c>
      <c r="BB6" s="473">
        <f>IF('ปฏิทิน'!BB5="","",DAY('ปฏิทิน'!BB5))</f>
        <v/>
      </c>
      <c r="BC6" s="473">
        <f>IF('ปฏิทิน'!BC5="","",DAY('ปฏิทิน'!BC5))</f>
        <v/>
      </c>
      <c r="BD6" s="473">
        <f>IF('ปฏิทิน'!BD5="","",DAY('ปฏิทิน'!BD5))</f>
        <v/>
      </c>
      <c r="BE6" s="473">
        <f>IF('ปฏิทิน'!BE5="","",DAY('ปฏิทิน'!BE5))</f>
        <v/>
      </c>
      <c r="BF6" s="473">
        <f>IF('ปฏิทิน'!BF5="","",DAY('ปฏิทิน'!BF5))</f>
        <v/>
      </c>
      <c r="BG6" s="473">
        <f>IF('ปฏิทิน'!BG5="","",DAY('ปฏิทิน'!BG5))</f>
        <v/>
      </c>
      <c r="BH6" s="473">
        <f>IF('ปฏิทิน'!BH5="","",DAY('ปฏิทิน'!BH5))</f>
        <v/>
      </c>
      <c r="BI6" s="473">
        <f>IF('ปฏิทิน'!BI5="","",DAY('ปฏิทิน'!BI5))</f>
        <v/>
      </c>
      <c r="BJ6" s="473">
        <f>IF('ปฏิทิน'!BJ5="","",DAY('ปฏิทิน'!BJ5))</f>
        <v/>
      </c>
      <c r="BK6" s="473">
        <f>IF('ปฏิทิน'!BK5="","",DAY('ปฏิทิน'!BK5))</f>
        <v/>
      </c>
      <c r="BL6" s="473">
        <f>IF('ปฏิทิน'!BL5="","",DAY('ปฏิทิน'!BL5))</f>
        <v/>
      </c>
      <c r="BM6" s="473">
        <f>IF('ปฏิทิน'!BM5="","",DAY('ปฏิทิน'!BM5))</f>
        <v/>
      </c>
      <c r="BN6" s="473">
        <f>IF('ปฏิทิน'!BN5="","",DAY('ปฏิทิน'!BN5))</f>
        <v/>
      </c>
      <c r="BO6" s="473">
        <f>IF('ปฏิทิน'!BO5="","",DAY('ปฏิทิน'!BO5))</f>
        <v/>
      </c>
      <c r="BP6" s="473">
        <f>IF('ปฏิทิน'!BP5="","",DAY('ปฏิทิน'!BP5))</f>
        <v/>
      </c>
      <c r="BQ6" s="568" t="inlineStr">
        <is>
          <t>ทำ
เอง</t>
        </is>
      </c>
      <c r="BR6" s="569" t="inlineStr">
        <is>
          <t>ช่วย/
ผ้าอ้อม</t>
        </is>
      </c>
      <c r="BS6" s="570" t="inlineStr">
        <is>
          <t>ราด</t>
        </is>
      </c>
      <c r="BT6" s="567">
        <f>IF('ปฏิทิน'!BT5="","",DAY('ปฏิทิน'!BT5))</f>
        <v/>
      </c>
      <c r="BU6" s="473">
        <f>IF('ปฏิทิน'!BU5="","",DAY('ปฏิทิน'!BU5))</f>
        <v/>
      </c>
      <c r="BV6" s="473">
        <f>IF('ปฏิทิน'!BV5="","",DAY('ปฏิทิน'!BV5))</f>
        <v/>
      </c>
      <c r="BW6" s="473">
        <f>IF('ปฏิทิน'!BW5="","",DAY('ปฏิทิน'!BW5))</f>
        <v/>
      </c>
      <c r="BX6" s="473">
        <f>IF('ปฏิทิน'!BX5="","",DAY('ปฏิทิน'!BX5))</f>
        <v/>
      </c>
      <c r="BY6" s="473">
        <f>IF('ปฏิทิน'!BY5="","",DAY('ปฏิทิน'!BY5))</f>
        <v/>
      </c>
      <c r="BZ6" s="473">
        <f>IF('ปฏิทิน'!BZ5="","",DAY('ปฏิทิน'!BZ5))</f>
        <v/>
      </c>
      <c r="CA6" s="473">
        <f>IF('ปฏิทิน'!CA5="","",DAY('ปฏิทิน'!CA5))</f>
        <v/>
      </c>
      <c r="CB6" s="473">
        <f>IF('ปฏิทิน'!CB5="","",DAY('ปฏิทิน'!CB5))</f>
        <v/>
      </c>
      <c r="CC6" s="473">
        <f>IF('ปฏิทิน'!CC5="","",DAY('ปฏิทิน'!CC5))</f>
        <v/>
      </c>
      <c r="CD6" s="473">
        <f>IF('ปฏิทิน'!CD5="","",DAY('ปฏิทิน'!CD5))</f>
        <v/>
      </c>
      <c r="CE6" s="473">
        <f>IF('ปฏิทิน'!CE5="","",DAY('ปฏิทิน'!CE5))</f>
        <v/>
      </c>
      <c r="CF6" s="473">
        <f>IF('ปฏิทิน'!CF5="","",DAY('ปฏิทิน'!CF5))</f>
        <v/>
      </c>
      <c r="CG6" s="473">
        <f>IF('ปฏิทิน'!CG5="","",DAY('ปฏิทิน'!CG5))</f>
        <v/>
      </c>
      <c r="CH6" s="473">
        <f>IF('ปฏิทิน'!CH5="","",DAY('ปฏิทิน'!CH5))</f>
        <v/>
      </c>
      <c r="CI6" s="473">
        <f>IF('ปฏิทิน'!CI5="","",DAY('ปฏิทิน'!CI5))</f>
        <v/>
      </c>
      <c r="CJ6" s="473">
        <f>IF('ปฏิทิน'!CJ5="","",DAY('ปฏิทิน'!CJ5))</f>
        <v/>
      </c>
      <c r="CK6" s="473">
        <f>IF('ปฏิทิน'!CK5="","",DAY('ปฏิทิน'!CK5))</f>
        <v/>
      </c>
      <c r="CL6" s="473">
        <f>IF('ปฏิทิน'!CL5="","",DAY('ปฏิทิน'!CL5))</f>
        <v/>
      </c>
      <c r="CM6" s="473">
        <f>IF('ปฏิทิน'!CM5="","",DAY('ปฏิทิน'!CM5))</f>
        <v/>
      </c>
      <c r="CN6" s="473">
        <f>IF('ปฏิทิน'!CN5="","",DAY('ปฏิทิน'!CN5))</f>
        <v/>
      </c>
      <c r="CO6" s="473">
        <f>IF('ปฏิทิน'!CO5="","",DAY('ปฏิทิน'!CO5))</f>
        <v/>
      </c>
      <c r="CP6" s="473">
        <f>IF('ปฏิทิน'!CP5="","",DAY('ปฏิทิน'!CP5))</f>
        <v/>
      </c>
      <c r="CQ6" s="473">
        <f>IF('ปฏิทิน'!CQ5="","",DAY('ปฏิทิน'!CQ5))</f>
        <v/>
      </c>
      <c r="CR6" s="473">
        <f>IF('ปฏิทิน'!CR5="","",DAY('ปฏิทิน'!CR5))</f>
        <v/>
      </c>
      <c r="CS6" s="473">
        <f>IF('ปฏิทิน'!CS5="","",DAY('ปฏิทิน'!CS5))</f>
        <v/>
      </c>
      <c r="CT6" s="473">
        <f>IF('ปฏิทิน'!CT5="","",DAY('ปฏิทิน'!CT5))</f>
        <v/>
      </c>
      <c r="CU6" s="473">
        <f>IF('ปฏิทิน'!CU5="","",DAY('ปฏิทิน'!CU5))</f>
        <v/>
      </c>
      <c r="CV6" s="473">
        <f>IF('ปฏิทิน'!CV5="","",DAY('ปฏิทิน'!CV5))</f>
        <v/>
      </c>
      <c r="CW6" s="473">
        <f>IF('ปฏิทิน'!CW5="","",DAY('ปฏิทิน'!CW5))</f>
        <v/>
      </c>
      <c r="CX6" s="473">
        <f>IF('ปฏิทิน'!CX5="","",DAY('ปฏิทิน'!CX5))</f>
        <v/>
      </c>
      <c r="CY6" s="568" t="inlineStr">
        <is>
          <t>ทำ
เอง</t>
        </is>
      </c>
      <c r="CZ6" s="569" t="inlineStr">
        <is>
          <t>ช่วย/
ผ้าอ้อม</t>
        </is>
      </c>
      <c r="DA6" s="570" t="inlineStr">
        <is>
          <t>ราด</t>
        </is>
      </c>
      <c r="DB6" s="567">
        <f>IF('ปฏิทิน'!DB5="","",DAY('ปฏิทิน'!DB5))</f>
        <v/>
      </c>
      <c r="DC6" s="473">
        <f>IF('ปฏิทิน'!DC5="","",DAY('ปฏิทิน'!DC5))</f>
        <v/>
      </c>
      <c r="DD6" s="473">
        <f>IF('ปฏิทิน'!DD5="","",DAY('ปฏิทิน'!DD5))</f>
        <v/>
      </c>
      <c r="DE6" s="473">
        <f>IF('ปฏิทิน'!DE5="","",DAY('ปฏิทิน'!DE5))</f>
        <v/>
      </c>
      <c r="DF6" s="473">
        <f>IF('ปฏิทิน'!DF5="","",DAY('ปฏิทิน'!DF5))</f>
        <v/>
      </c>
      <c r="DG6" s="473">
        <f>IF('ปฏิทิน'!DG5="","",DAY('ปฏิทิน'!DG5))</f>
        <v/>
      </c>
      <c r="DH6" s="473">
        <f>IF('ปฏิทิน'!DH5="","",DAY('ปฏิทิน'!DH5))</f>
        <v/>
      </c>
      <c r="DI6" s="473">
        <f>IF('ปฏิทิน'!DI5="","",DAY('ปฏิทิน'!DI5))</f>
        <v/>
      </c>
      <c r="DJ6" s="473">
        <f>IF('ปฏิทิน'!DJ5="","",DAY('ปฏิทิน'!DJ5))</f>
        <v/>
      </c>
      <c r="DK6" s="473">
        <f>IF('ปฏิทิน'!DK5="","",DAY('ปฏิทิน'!DK5))</f>
        <v/>
      </c>
      <c r="DL6" s="473">
        <f>IF('ปฏิทิน'!DL5="","",DAY('ปฏิทิน'!DL5))</f>
        <v/>
      </c>
      <c r="DM6" s="473">
        <f>IF('ปฏิทิน'!DM5="","",DAY('ปฏิทิน'!DM5))</f>
        <v/>
      </c>
      <c r="DN6" s="473">
        <f>IF('ปฏิทิน'!DN5="","",DAY('ปฏิทิน'!DN5))</f>
        <v/>
      </c>
      <c r="DO6" s="473">
        <f>IF('ปฏิทิน'!DO5="","",DAY('ปฏิทิน'!DO5))</f>
        <v/>
      </c>
      <c r="DP6" s="473">
        <f>IF('ปฏิทิน'!DP5="","",DAY('ปฏิทิน'!DP5))</f>
        <v/>
      </c>
      <c r="DQ6" s="473">
        <f>IF('ปฏิทิน'!DQ5="","",DAY('ปฏิทิน'!DQ5))</f>
        <v/>
      </c>
      <c r="DR6" s="473">
        <f>IF('ปฏิทิน'!DR5="","",DAY('ปฏิทิน'!DR5))</f>
        <v/>
      </c>
      <c r="DS6" s="473">
        <f>IF('ปฏิทิน'!DS5="","",DAY('ปฏิทิน'!DS5))</f>
        <v/>
      </c>
      <c r="DT6" s="473">
        <f>IF('ปฏิทิน'!DT5="","",DAY('ปฏิทิน'!DT5))</f>
        <v/>
      </c>
      <c r="DU6" s="473">
        <f>IF('ปฏิทิน'!DU5="","",DAY('ปฏิทิน'!DU5))</f>
        <v/>
      </c>
      <c r="DV6" s="473">
        <f>IF('ปฏิทิน'!DV5="","",DAY('ปฏิทิน'!DV5))</f>
        <v/>
      </c>
      <c r="DW6" s="473">
        <f>IF('ปฏิทิน'!DW5="","",DAY('ปฏิทิน'!DW5))</f>
        <v/>
      </c>
      <c r="DX6" s="473">
        <f>IF('ปฏิทิน'!DX5="","",DAY('ปฏิทิน'!DX5))</f>
        <v/>
      </c>
      <c r="DY6" s="473">
        <f>IF('ปฏิทิน'!DY5="","",DAY('ปฏิทิน'!DY5))</f>
        <v/>
      </c>
      <c r="DZ6" s="473">
        <f>IF('ปฏิทิน'!DZ5="","",DAY('ปฏิทิน'!DZ5))</f>
        <v/>
      </c>
      <c r="EA6" s="473">
        <f>IF('ปฏิทิน'!EA5="","",DAY('ปฏิทิน'!EA5))</f>
        <v/>
      </c>
      <c r="EB6" s="473">
        <f>IF('ปฏิทิน'!EB5="","",DAY('ปฏิทิน'!EB5))</f>
        <v/>
      </c>
      <c r="EC6" s="473">
        <f>IF('ปฏิทิน'!EC5="","",DAY('ปฏิทิน'!EC5))</f>
        <v/>
      </c>
      <c r="ED6" s="473">
        <f>IF('ปฏิทิน'!ED5="","",DAY('ปฏิทิน'!ED5))</f>
        <v/>
      </c>
      <c r="EE6" s="473">
        <f>IF('ปฏิทิน'!EE5="","",DAY('ปฏิทิน'!EE5))</f>
        <v/>
      </c>
      <c r="EF6" s="473">
        <f>IF('ปฏิทิน'!EF5="","",DAY('ปฏิทิน'!EF5))</f>
        <v/>
      </c>
      <c r="EG6" s="568" t="inlineStr">
        <is>
          <t>ทำ
เอง</t>
        </is>
      </c>
      <c r="EH6" s="569" t="inlineStr">
        <is>
          <t>ช่วย/
ผ้าอ้อม</t>
        </is>
      </c>
      <c r="EI6" s="570" t="inlineStr">
        <is>
          <t>ราด</t>
        </is>
      </c>
      <c r="EJ6" s="567">
        <f>IF('ปฏิทิน'!EJ5="","",DAY('ปฏิทิน'!EJ5))</f>
        <v/>
      </c>
      <c r="EK6" s="473">
        <f>IF('ปฏิทิน'!EK5="","",DAY('ปฏิทิน'!EK5))</f>
        <v/>
      </c>
      <c r="EL6" s="473">
        <f>IF('ปฏิทิน'!EL5="","",DAY('ปฏิทิน'!EL5))</f>
        <v/>
      </c>
      <c r="EM6" s="473">
        <f>IF('ปฏิทิน'!EM5="","",DAY('ปฏิทิน'!EM5))</f>
        <v/>
      </c>
      <c r="EN6" s="473">
        <f>IF('ปฏิทิน'!EN5="","",DAY('ปฏิทิน'!EN5))</f>
        <v/>
      </c>
      <c r="EO6" s="473">
        <f>IF('ปฏิทิน'!EO5="","",DAY('ปฏิทิน'!EO5))</f>
        <v/>
      </c>
      <c r="EP6" s="473">
        <f>IF('ปฏิทิน'!EP5="","",DAY('ปฏิทิน'!EP5))</f>
        <v/>
      </c>
      <c r="EQ6" s="473">
        <f>IF('ปฏิทิน'!EQ5="","",DAY('ปฏิทิน'!EQ5))</f>
        <v/>
      </c>
      <c r="ER6" s="473">
        <f>IF('ปฏิทิน'!ER5="","",DAY('ปฏิทิน'!ER5))</f>
        <v/>
      </c>
      <c r="ES6" s="473">
        <f>IF('ปฏิทิน'!ES5="","",DAY('ปฏิทิน'!ES5))</f>
        <v/>
      </c>
      <c r="ET6" s="473">
        <f>IF('ปฏิทิน'!ET5="","",DAY('ปฏิทิน'!ET5))</f>
        <v/>
      </c>
      <c r="EU6" s="473">
        <f>IF('ปฏิทิน'!EU5="","",DAY('ปฏิทิน'!EU5))</f>
        <v/>
      </c>
      <c r="EV6" s="473">
        <f>IF('ปฏิทิน'!EV5="","",DAY('ปฏิทิน'!EV5))</f>
        <v/>
      </c>
      <c r="EW6" s="473">
        <f>IF('ปฏิทิน'!EW5="","",DAY('ปฏิทิน'!EW5))</f>
        <v/>
      </c>
      <c r="EX6" s="473">
        <f>IF('ปฏิทิน'!EX5="","",DAY('ปฏิทิน'!EX5))</f>
        <v/>
      </c>
      <c r="EY6" s="473">
        <f>IF('ปฏิทิน'!EY5="","",DAY('ปฏิทิน'!EY5))</f>
        <v/>
      </c>
      <c r="EZ6" s="473">
        <f>IF('ปฏิทิน'!EZ5="","",DAY('ปฏิทิน'!EZ5))</f>
        <v/>
      </c>
      <c r="FA6" s="473">
        <f>IF('ปฏิทิน'!FA5="","",DAY('ปฏิทิน'!FA5))</f>
        <v/>
      </c>
      <c r="FB6" s="473">
        <f>IF('ปฏิทิน'!FB5="","",DAY('ปฏิทิน'!FB5))</f>
        <v/>
      </c>
      <c r="FC6" s="473">
        <f>IF('ปฏิทิน'!FC5="","",DAY('ปฏิทิน'!FC5))</f>
        <v/>
      </c>
      <c r="FD6" s="473">
        <f>IF('ปฏิทิน'!FD5="","",DAY('ปฏิทิน'!FD5))</f>
        <v/>
      </c>
      <c r="FE6" s="473">
        <f>IF('ปฏิทิน'!FE5="","",DAY('ปฏิทิน'!FE5))</f>
        <v/>
      </c>
      <c r="FF6" s="473">
        <f>IF('ปฏิทิน'!FF5="","",DAY('ปฏิทิน'!FF5))</f>
        <v/>
      </c>
      <c r="FG6" s="473">
        <f>IF('ปฏิทิน'!FG5="","",DAY('ปฏิทิน'!FG5))</f>
        <v/>
      </c>
      <c r="FH6" s="473">
        <f>IF('ปฏิทิน'!FH5="","",DAY('ปฏิทิน'!FH5))</f>
        <v/>
      </c>
      <c r="FI6" s="473">
        <f>IF('ปฏิทิน'!FI5="","",DAY('ปฏิทิน'!FI5))</f>
        <v/>
      </c>
      <c r="FJ6" s="473">
        <f>IF('ปฏิทิน'!FJ5="","",DAY('ปฏิทิน'!FJ5))</f>
        <v/>
      </c>
      <c r="FK6" s="473">
        <f>IF('ปฏิทิน'!FK5="","",DAY('ปฏิทิน'!FK5))</f>
        <v/>
      </c>
      <c r="FL6" s="473">
        <f>IF('ปฏิทิน'!FL5="","",DAY('ปฏิทิน'!FL5))</f>
        <v/>
      </c>
      <c r="FM6" s="473">
        <f>IF('ปฏิทิน'!FM5="","",DAY('ปฏิทิน'!FM5))</f>
        <v/>
      </c>
      <c r="FN6" s="473">
        <f>IF('ปฏิทิน'!FN5="","",DAY('ปฏิทิน'!FN5))</f>
        <v/>
      </c>
      <c r="FO6" s="568" t="inlineStr">
        <is>
          <t>ทำ
เอง</t>
        </is>
      </c>
      <c r="FP6" s="569" t="inlineStr">
        <is>
          <t>ช่วย/
ผ้าอ้อม</t>
        </is>
      </c>
      <c r="FQ6" s="570" t="inlineStr">
        <is>
          <t>ราด</t>
        </is>
      </c>
    </row>
    <row r="7">
      <c r="D7" s="571">
        <f>IF('ปฏิทิน'!D5="","",CHOOSE(WEEKDAY('ปฏิทิน'!D5,2),"จ.","อ.","พ.","พฤ.","ศ.","ส.","อา."))</f>
        <v/>
      </c>
      <c r="E7" s="481">
        <f>IF('ปฏิทิน'!E5="","",CHOOSE(WEEKDAY('ปฏิทิน'!E5,2),"จ.","อ.","พ.","พฤ.","ศ.","ส.","อา."))</f>
        <v/>
      </c>
      <c r="F7" s="481">
        <f>IF('ปฏิทิน'!F5="","",CHOOSE(WEEKDAY('ปฏิทิน'!F5,2),"จ.","อ.","พ.","พฤ.","ศ.","ส.","อา."))</f>
        <v/>
      </c>
      <c r="G7" s="481">
        <f>IF('ปฏิทิน'!G5="","",CHOOSE(WEEKDAY('ปฏิทิน'!G5,2),"จ.","อ.","พ.","พฤ.","ศ.","ส.","อา."))</f>
        <v/>
      </c>
      <c r="H7" s="481">
        <f>IF('ปฏิทิน'!H5="","",CHOOSE(WEEKDAY('ปฏิทิน'!H5,2),"จ.","อ.","พ.","พฤ.","ศ.","ส.","อา."))</f>
        <v/>
      </c>
      <c r="I7" s="481">
        <f>IF('ปฏิทิน'!I5="","",CHOOSE(WEEKDAY('ปฏิทิน'!I5,2),"จ.","อ.","พ.","พฤ.","ศ.","ส.","อา."))</f>
        <v/>
      </c>
      <c r="J7" s="481">
        <f>IF('ปฏิทิน'!J5="","",CHOOSE(WEEKDAY('ปฏิทิน'!J5,2),"จ.","อ.","พ.","พฤ.","ศ.","ส.","อา."))</f>
        <v/>
      </c>
      <c r="K7" s="481">
        <f>IF('ปฏิทิน'!K5="","",CHOOSE(WEEKDAY('ปฏิทิน'!K5,2),"จ.","อ.","พ.","พฤ.","ศ.","ส.","อา."))</f>
        <v/>
      </c>
      <c r="L7" s="481">
        <f>IF('ปฏิทิน'!L5="","",CHOOSE(WEEKDAY('ปฏิทิน'!L5,2),"จ.","อ.","พ.","พฤ.","ศ.","ส.","อา."))</f>
        <v/>
      </c>
      <c r="M7" s="481">
        <f>IF('ปฏิทิน'!M5="","",CHOOSE(WEEKDAY('ปฏิทิน'!M5,2),"จ.","อ.","พ.","พฤ.","ศ.","ส.","อา."))</f>
        <v/>
      </c>
      <c r="N7" s="481">
        <f>IF('ปฏิทิน'!N5="","",CHOOSE(WEEKDAY('ปฏิทิน'!N5,2),"จ.","อ.","พ.","พฤ.","ศ.","ส.","อา."))</f>
        <v/>
      </c>
      <c r="O7" s="481">
        <f>IF('ปฏิทิน'!O5="","",CHOOSE(WEEKDAY('ปฏิทิน'!O5,2),"จ.","อ.","พ.","พฤ.","ศ.","ส.","อา."))</f>
        <v/>
      </c>
      <c r="P7" s="481">
        <f>IF('ปฏิทิน'!P5="","",CHOOSE(WEEKDAY('ปฏิทิน'!P5,2),"จ.","อ.","พ.","พฤ.","ศ.","ส.","อา."))</f>
        <v/>
      </c>
      <c r="Q7" s="481">
        <f>IF('ปฏิทิน'!Q5="","",CHOOSE(WEEKDAY('ปฏิทิน'!Q5,2),"จ.","อ.","พ.","พฤ.","ศ.","ส.","อา."))</f>
        <v/>
      </c>
      <c r="R7" s="481">
        <f>IF('ปฏิทิน'!R5="","",CHOOSE(WEEKDAY('ปฏิทิน'!R5,2),"จ.","อ.","พ.","พฤ.","ศ.","ส.","อา."))</f>
        <v/>
      </c>
      <c r="S7" s="481">
        <f>IF('ปฏิทิน'!S5="","",CHOOSE(WEEKDAY('ปฏิทิน'!S5,2),"จ.","อ.","พ.","พฤ.","ศ.","ส.","อา."))</f>
        <v/>
      </c>
      <c r="T7" s="481">
        <f>IF('ปฏิทิน'!T5="","",CHOOSE(WEEKDAY('ปฏิทิน'!T5,2),"จ.","อ.","พ.","พฤ.","ศ.","ส.","อา."))</f>
        <v/>
      </c>
      <c r="U7" s="481">
        <f>IF('ปฏิทิน'!U5="","",CHOOSE(WEEKDAY('ปฏิทิน'!U5,2),"จ.","อ.","พ.","พฤ.","ศ.","ส.","อา."))</f>
        <v/>
      </c>
      <c r="V7" s="481">
        <f>IF('ปฏิทิน'!V5="","",CHOOSE(WEEKDAY('ปฏิทิน'!V5,2),"จ.","อ.","พ.","พฤ.","ศ.","ส.","อา."))</f>
        <v/>
      </c>
      <c r="W7" s="481">
        <f>IF('ปฏิทิน'!W5="","",CHOOSE(WEEKDAY('ปฏิทิน'!W5,2),"จ.","อ.","พ.","พฤ.","ศ.","ส.","อา."))</f>
        <v/>
      </c>
      <c r="X7" s="481">
        <f>IF('ปฏิทิน'!X5="","",CHOOSE(WEEKDAY('ปฏิทิน'!X5,2),"จ.","อ.","พ.","พฤ.","ศ.","ส.","อา."))</f>
        <v/>
      </c>
      <c r="Y7" s="481">
        <f>IF('ปฏิทิน'!Y5="","",CHOOSE(WEEKDAY('ปฏิทิน'!Y5,2),"จ.","อ.","พ.","พฤ.","ศ.","ส.","อา."))</f>
        <v/>
      </c>
      <c r="Z7" s="481">
        <f>IF('ปฏิทิน'!Z5="","",CHOOSE(WEEKDAY('ปฏิทิน'!Z5,2),"จ.","อ.","พ.","พฤ.","ศ.","ส.","อา."))</f>
        <v/>
      </c>
      <c r="AA7" s="481">
        <f>IF('ปฏิทิน'!AA5="","",CHOOSE(WEEKDAY('ปฏิทิน'!AA5,2),"จ.","อ.","พ.","พฤ.","ศ.","ส.","อา."))</f>
        <v/>
      </c>
      <c r="AB7" s="481">
        <f>IF('ปฏิทิน'!AB5="","",CHOOSE(WEEKDAY('ปฏิทิน'!AB5,2),"จ.","อ.","พ.","พฤ.","ศ.","ส.","อา."))</f>
        <v/>
      </c>
      <c r="AC7" s="481">
        <f>IF('ปฏิทิน'!AC5="","",CHOOSE(WEEKDAY('ปฏิทิน'!AC5,2),"จ.","อ.","พ.","พฤ.","ศ.","ส.","อา."))</f>
        <v/>
      </c>
      <c r="AD7" s="481">
        <f>IF('ปฏิทิน'!AD5="","",CHOOSE(WEEKDAY('ปฏิทิน'!AD5,2),"จ.","อ.","พ.","พฤ.","ศ.","ส.","อา."))</f>
        <v/>
      </c>
      <c r="AE7" s="481">
        <f>IF('ปฏิทิน'!AE5="","",CHOOSE(WEEKDAY('ปฏิทิน'!AE5,2),"จ.","อ.","พ.","พฤ.","ศ.","ส.","อา."))</f>
        <v/>
      </c>
      <c r="AF7" s="481">
        <f>IF('ปฏิทิน'!AF5="","",CHOOSE(WEEKDAY('ปฏิทิน'!AF5,2),"จ.","อ.","พ.","พฤ.","ศ.","ส.","อา."))</f>
        <v/>
      </c>
      <c r="AG7" s="481">
        <f>IF('ปฏิทิน'!AG5="","",CHOOSE(WEEKDAY('ปฏิทิน'!AG5,2),"จ.","อ.","พ.","พฤ.","ศ.","ส.","อา."))</f>
        <v/>
      </c>
      <c r="AH7" s="481">
        <f>IF('ปฏิทิน'!AH5="","",CHOOSE(WEEKDAY('ปฏิทิน'!AH5,2),"จ.","อ.","พ.","พฤ.","ศ.","ส.","อา."))</f>
        <v/>
      </c>
      <c r="AI7" s="572" t="n"/>
      <c r="AL7" s="571">
        <f>IF('ปฏิทิน'!AL5="","",CHOOSE(WEEKDAY('ปฏิทิน'!AL5,2),"จ.","อ.","พ.","พฤ.","ศ.","ส.","อา."))</f>
        <v/>
      </c>
      <c r="AM7" s="481">
        <f>IF('ปฏิทิน'!AM5="","",CHOOSE(WEEKDAY('ปฏิทิน'!AM5,2),"จ.","อ.","พ.","พฤ.","ศ.","ส.","อา."))</f>
        <v/>
      </c>
      <c r="AN7" s="481">
        <f>IF('ปฏิทิน'!AN5="","",CHOOSE(WEEKDAY('ปฏิทิน'!AN5,2),"จ.","อ.","พ.","พฤ.","ศ.","ส.","อา."))</f>
        <v/>
      </c>
      <c r="AO7" s="481">
        <f>IF('ปฏิทิน'!AO5="","",CHOOSE(WEEKDAY('ปฏิทิน'!AO5,2),"จ.","อ.","พ.","พฤ.","ศ.","ส.","อา."))</f>
        <v/>
      </c>
      <c r="AP7" s="481">
        <f>IF('ปฏิทิน'!AP5="","",CHOOSE(WEEKDAY('ปฏิทิน'!AP5,2),"จ.","อ.","พ.","พฤ.","ศ.","ส.","อา."))</f>
        <v/>
      </c>
      <c r="AQ7" s="481">
        <f>IF('ปฏิทิน'!AQ5="","",CHOOSE(WEEKDAY('ปฏิทิน'!AQ5,2),"จ.","อ.","พ.","พฤ.","ศ.","ส.","อา."))</f>
        <v/>
      </c>
      <c r="AR7" s="481">
        <f>IF('ปฏิทิน'!AR5="","",CHOOSE(WEEKDAY('ปฏิทิน'!AR5,2),"จ.","อ.","พ.","พฤ.","ศ.","ส.","อา."))</f>
        <v/>
      </c>
      <c r="AS7" s="481">
        <f>IF('ปฏิทิน'!AS5="","",CHOOSE(WEEKDAY('ปฏิทิน'!AS5,2),"จ.","อ.","พ.","พฤ.","ศ.","ส.","อา."))</f>
        <v/>
      </c>
      <c r="AT7" s="481">
        <f>IF('ปฏิทิน'!AT5="","",CHOOSE(WEEKDAY('ปฏิทิน'!AT5,2),"จ.","อ.","พ.","พฤ.","ศ.","ส.","อา."))</f>
        <v/>
      </c>
      <c r="AU7" s="481">
        <f>IF('ปฏิทิน'!AU5="","",CHOOSE(WEEKDAY('ปฏิทิน'!AU5,2),"จ.","อ.","พ.","พฤ.","ศ.","ส.","อา."))</f>
        <v/>
      </c>
      <c r="AV7" s="481">
        <f>IF('ปฏิทิน'!AV5="","",CHOOSE(WEEKDAY('ปฏิทิน'!AV5,2),"จ.","อ.","พ.","พฤ.","ศ.","ส.","อา."))</f>
        <v/>
      </c>
      <c r="AW7" s="481">
        <f>IF('ปฏิทิน'!AW5="","",CHOOSE(WEEKDAY('ปฏิทิน'!AW5,2),"จ.","อ.","พ.","พฤ.","ศ.","ส.","อา."))</f>
        <v/>
      </c>
      <c r="AX7" s="481">
        <f>IF('ปฏิทิน'!AX5="","",CHOOSE(WEEKDAY('ปฏิทิน'!AX5,2),"จ.","อ.","พ.","พฤ.","ศ.","ส.","อา."))</f>
        <v/>
      </c>
      <c r="AY7" s="481">
        <f>IF('ปฏิทิน'!AY5="","",CHOOSE(WEEKDAY('ปฏิทิน'!AY5,2),"จ.","อ.","พ.","พฤ.","ศ.","ส.","อา."))</f>
        <v/>
      </c>
      <c r="AZ7" s="481">
        <f>IF('ปฏิทิน'!AZ5="","",CHOOSE(WEEKDAY('ปฏิทิน'!AZ5,2),"จ.","อ.","พ.","พฤ.","ศ.","ส.","อา."))</f>
        <v/>
      </c>
      <c r="BA7" s="481">
        <f>IF('ปฏิทิน'!BA5="","",CHOOSE(WEEKDAY('ปฏิทิน'!BA5,2),"จ.","อ.","พ.","พฤ.","ศ.","ส.","อา."))</f>
        <v/>
      </c>
      <c r="BB7" s="481">
        <f>IF('ปฏิทิน'!BB5="","",CHOOSE(WEEKDAY('ปฏิทิน'!BB5,2),"จ.","อ.","พ.","พฤ.","ศ.","ส.","อา."))</f>
        <v/>
      </c>
      <c r="BC7" s="481">
        <f>IF('ปฏิทิน'!BC5="","",CHOOSE(WEEKDAY('ปฏิทิน'!BC5,2),"จ.","อ.","พ.","พฤ.","ศ.","ส.","อา."))</f>
        <v/>
      </c>
      <c r="BD7" s="481">
        <f>IF('ปฏิทิน'!BD5="","",CHOOSE(WEEKDAY('ปฏิทิน'!BD5,2),"จ.","อ.","พ.","พฤ.","ศ.","ส.","อา."))</f>
        <v/>
      </c>
      <c r="BE7" s="481">
        <f>IF('ปฏิทิน'!BE5="","",CHOOSE(WEEKDAY('ปฏิทิน'!BE5,2),"จ.","อ.","พ.","พฤ.","ศ.","ส.","อา."))</f>
        <v/>
      </c>
      <c r="BF7" s="481">
        <f>IF('ปฏิทิน'!BF5="","",CHOOSE(WEEKDAY('ปฏิทิน'!BF5,2),"จ.","อ.","พ.","พฤ.","ศ.","ส.","อา."))</f>
        <v/>
      </c>
      <c r="BG7" s="481">
        <f>IF('ปฏิทิน'!BG5="","",CHOOSE(WEEKDAY('ปฏิทิน'!BG5,2),"จ.","อ.","พ.","พฤ.","ศ.","ส.","อา."))</f>
        <v/>
      </c>
      <c r="BH7" s="481">
        <f>IF('ปฏิทิน'!BH5="","",CHOOSE(WEEKDAY('ปฏิทิน'!BH5,2),"จ.","อ.","พ.","พฤ.","ศ.","ส.","อา."))</f>
        <v/>
      </c>
      <c r="BI7" s="481">
        <f>IF('ปฏิทิน'!BI5="","",CHOOSE(WEEKDAY('ปฏิทิน'!BI5,2),"จ.","อ.","พ.","พฤ.","ศ.","ส.","อา."))</f>
        <v/>
      </c>
      <c r="BJ7" s="481">
        <f>IF('ปฏิทิน'!BJ5="","",CHOOSE(WEEKDAY('ปฏิทิน'!BJ5,2),"จ.","อ.","พ.","พฤ.","ศ.","ส.","อา."))</f>
        <v/>
      </c>
      <c r="BK7" s="481">
        <f>IF('ปฏิทิน'!BK5="","",CHOOSE(WEEKDAY('ปฏิทิน'!BK5,2),"จ.","อ.","พ.","พฤ.","ศ.","ส.","อา."))</f>
        <v/>
      </c>
      <c r="BL7" s="481">
        <f>IF('ปฏิทิน'!BL5="","",CHOOSE(WEEKDAY('ปฏิทิน'!BL5,2),"จ.","อ.","พ.","พฤ.","ศ.","ส.","อา."))</f>
        <v/>
      </c>
      <c r="BM7" s="481">
        <f>IF('ปฏิทิน'!BM5="","",CHOOSE(WEEKDAY('ปฏิทิน'!BM5,2),"จ.","อ.","พ.","พฤ.","ศ.","ส.","อา."))</f>
        <v/>
      </c>
      <c r="BN7" s="481">
        <f>IF('ปฏิทิน'!BN5="","",CHOOSE(WEEKDAY('ปฏิทิน'!BN5,2),"จ.","อ.","พ.","พฤ.","ศ.","ส.","อา."))</f>
        <v/>
      </c>
      <c r="BO7" s="481">
        <f>IF('ปฏิทิน'!BO5="","",CHOOSE(WEEKDAY('ปฏิทิน'!BO5,2),"จ.","อ.","พ.","พฤ.","ศ.","ส.","อา."))</f>
        <v/>
      </c>
      <c r="BP7" s="481">
        <f>IF('ปฏิทิน'!BP5="","",CHOOSE(WEEKDAY('ปฏิทิน'!BP5,2),"จ.","อ.","พ.","พฤ.","ศ.","ส.","อา."))</f>
        <v/>
      </c>
      <c r="BQ7" s="572" t="n"/>
      <c r="BT7" s="571">
        <f>IF('ปฏิทิน'!BT5="","",CHOOSE(WEEKDAY('ปฏิทิน'!BT5,2),"จ.","อ.","พ.","พฤ.","ศ.","ส.","อา."))</f>
        <v/>
      </c>
      <c r="BU7" s="481">
        <f>IF('ปฏิทิน'!BU5="","",CHOOSE(WEEKDAY('ปฏิทิน'!BU5,2),"จ.","อ.","พ.","พฤ.","ศ.","ส.","อา."))</f>
        <v/>
      </c>
      <c r="BV7" s="481">
        <f>IF('ปฏิทิน'!BV5="","",CHOOSE(WEEKDAY('ปฏิทิน'!BV5,2),"จ.","อ.","พ.","พฤ.","ศ.","ส.","อา."))</f>
        <v/>
      </c>
      <c r="BW7" s="481">
        <f>IF('ปฏิทิน'!BW5="","",CHOOSE(WEEKDAY('ปฏิทิน'!BW5,2),"จ.","อ.","พ.","พฤ.","ศ.","ส.","อา."))</f>
        <v/>
      </c>
      <c r="BX7" s="481">
        <f>IF('ปฏิทิน'!BX5="","",CHOOSE(WEEKDAY('ปฏิทิน'!BX5,2),"จ.","อ.","พ.","พฤ.","ศ.","ส.","อา."))</f>
        <v/>
      </c>
      <c r="BY7" s="481">
        <f>IF('ปฏิทิน'!BY5="","",CHOOSE(WEEKDAY('ปฏิทิน'!BY5,2),"จ.","อ.","พ.","พฤ.","ศ.","ส.","อา."))</f>
        <v/>
      </c>
      <c r="BZ7" s="481">
        <f>IF('ปฏิทิน'!BZ5="","",CHOOSE(WEEKDAY('ปฏิทิน'!BZ5,2),"จ.","อ.","พ.","พฤ.","ศ.","ส.","อา."))</f>
        <v/>
      </c>
      <c r="CA7" s="481">
        <f>IF('ปฏิทิน'!CA5="","",CHOOSE(WEEKDAY('ปฏิทิน'!CA5,2),"จ.","อ.","พ.","พฤ.","ศ.","ส.","อา."))</f>
        <v/>
      </c>
      <c r="CB7" s="481">
        <f>IF('ปฏิทิน'!CB5="","",CHOOSE(WEEKDAY('ปฏิทิน'!CB5,2),"จ.","อ.","พ.","พฤ.","ศ.","ส.","อา."))</f>
        <v/>
      </c>
      <c r="CC7" s="481">
        <f>IF('ปฏิทิน'!CC5="","",CHOOSE(WEEKDAY('ปฏิทิน'!CC5,2),"จ.","อ.","พ.","พฤ.","ศ.","ส.","อา."))</f>
        <v/>
      </c>
      <c r="CD7" s="481">
        <f>IF('ปฏิทิน'!CD5="","",CHOOSE(WEEKDAY('ปฏิทิน'!CD5,2),"จ.","อ.","พ.","พฤ.","ศ.","ส.","อา."))</f>
        <v/>
      </c>
      <c r="CE7" s="481">
        <f>IF('ปฏิทิน'!CE5="","",CHOOSE(WEEKDAY('ปฏิทิน'!CE5,2),"จ.","อ.","พ.","พฤ.","ศ.","ส.","อา."))</f>
        <v/>
      </c>
      <c r="CF7" s="481">
        <f>IF('ปฏิทิน'!CF5="","",CHOOSE(WEEKDAY('ปฏิทิน'!CF5,2),"จ.","อ.","พ.","พฤ.","ศ.","ส.","อา."))</f>
        <v/>
      </c>
      <c r="CG7" s="481">
        <f>IF('ปฏิทิน'!CG5="","",CHOOSE(WEEKDAY('ปฏิทิน'!CG5,2),"จ.","อ.","พ.","พฤ.","ศ.","ส.","อา."))</f>
        <v/>
      </c>
      <c r="CH7" s="481">
        <f>IF('ปฏิทิน'!CH5="","",CHOOSE(WEEKDAY('ปฏิทิน'!CH5,2),"จ.","อ.","พ.","พฤ.","ศ.","ส.","อา."))</f>
        <v/>
      </c>
      <c r="CI7" s="481">
        <f>IF('ปฏิทิน'!CI5="","",CHOOSE(WEEKDAY('ปฏิทิน'!CI5,2),"จ.","อ.","พ.","พฤ.","ศ.","ส.","อา."))</f>
        <v/>
      </c>
      <c r="CJ7" s="481">
        <f>IF('ปฏิทิน'!CJ5="","",CHOOSE(WEEKDAY('ปฏิทิน'!CJ5,2),"จ.","อ.","พ.","พฤ.","ศ.","ส.","อา."))</f>
        <v/>
      </c>
      <c r="CK7" s="481">
        <f>IF('ปฏิทิน'!CK5="","",CHOOSE(WEEKDAY('ปฏิทิน'!CK5,2),"จ.","อ.","พ.","พฤ.","ศ.","ส.","อา."))</f>
        <v/>
      </c>
      <c r="CL7" s="481">
        <f>IF('ปฏิทิน'!CL5="","",CHOOSE(WEEKDAY('ปฏิทิน'!CL5,2),"จ.","อ.","พ.","พฤ.","ศ.","ส.","อา."))</f>
        <v/>
      </c>
      <c r="CM7" s="481">
        <f>IF('ปฏิทิน'!CM5="","",CHOOSE(WEEKDAY('ปฏิทิน'!CM5,2),"จ.","อ.","พ.","พฤ.","ศ.","ส.","อา."))</f>
        <v/>
      </c>
      <c r="CN7" s="481">
        <f>IF('ปฏิทิน'!CN5="","",CHOOSE(WEEKDAY('ปฏิทิน'!CN5,2),"จ.","อ.","พ.","พฤ.","ศ.","ส.","อา."))</f>
        <v/>
      </c>
      <c r="CO7" s="481">
        <f>IF('ปฏิทิน'!CO5="","",CHOOSE(WEEKDAY('ปฏิทิน'!CO5,2),"จ.","อ.","พ.","พฤ.","ศ.","ส.","อา."))</f>
        <v/>
      </c>
      <c r="CP7" s="481">
        <f>IF('ปฏิทิน'!CP5="","",CHOOSE(WEEKDAY('ปฏิทิน'!CP5,2),"จ.","อ.","พ.","พฤ.","ศ.","ส.","อา."))</f>
        <v/>
      </c>
      <c r="CQ7" s="481">
        <f>IF('ปฏิทิน'!CQ5="","",CHOOSE(WEEKDAY('ปฏิทิน'!CQ5,2),"จ.","อ.","พ.","พฤ.","ศ.","ส.","อา."))</f>
        <v/>
      </c>
      <c r="CR7" s="481">
        <f>IF('ปฏิทิน'!CR5="","",CHOOSE(WEEKDAY('ปฏิทิน'!CR5,2),"จ.","อ.","พ.","พฤ.","ศ.","ส.","อา."))</f>
        <v/>
      </c>
      <c r="CS7" s="481">
        <f>IF('ปฏิทิน'!CS5="","",CHOOSE(WEEKDAY('ปฏิทิน'!CS5,2),"จ.","อ.","พ.","พฤ.","ศ.","ส.","อา."))</f>
        <v/>
      </c>
      <c r="CT7" s="481">
        <f>IF('ปฏิทิน'!CT5="","",CHOOSE(WEEKDAY('ปฏิทิน'!CT5,2),"จ.","อ.","พ.","พฤ.","ศ.","ส.","อา."))</f>
        <v/>
      </c>
      <c r="CU7" s="481">
        <f>IF('ปฏิทิน'!CU5="","",CHOOSE(WEEKDAY('ปฏิทิน'!CU5,2),"จ.","อ.","พ.","พฤ.","ศ.","ส.","อา."))</f>
        <v/>
      </c>
      <c r="CV7" s="481">
        <f>IF('ปฏิทิน'!CV5="","",CHOOSE(WEEKDAY('ปฏิทิน'!CV5,2),"จ.","อ.","พ.","พฤ.","ศ.","ส.","อา."))</f>
        <v/>
      </c>
      <c r="CW7" s="481">
        <f>IF('ปฏิทิน'!CW5="","",CHOOSE(WEEKDAY('ปฏิทิน'!CW5,2),"จ.","อ.","พ.","พฤ.","ศ.","ส.","อา."))</f>
        <v/>
      </c>
      <c r="CX7" s="481">
        <f>IF('ปฏิทิน'!CX5="","",CHOOSE(WEEKDAY('ปฏิทิน'!CX5,2),"จ.","อ.","พ.","พฤ.","ศ.","ส.","อา."))</f>
        <v/>
      </c>
      <c r="CY7" s="572" t="n"/>
      <c r="DB7" s="571">
        <f>IF('ปฏิทิน'!DB5="","",CHOOSE(WEEKDAY('ปฏิทิน'!DB5,2),"จ.","อ.","พ.","พฤ.","ศ.","ส.","อา."))</f>
        <v/>
      </c>
      <c r="DC7" s="481">
        <f>IF('ปฏิทิน'!DC5="","",CHOOSE(WEEKDAY('ปฏิทิน'!DC5,2),"จ.","อ.","พ.","พฤ.","ศ.","ส.","อา."))</f>
        <v/>
      </c>
      <c r="DD7" s="481">
        <f>IF('ปฏิทิน'!DD5="","",CHOOSE(WEEKDAY('ปฏิทิน'!DD5,2),"จ.","อ.","พ.","พฤ.","ศ.","ส.","อา."))</f>
        <v/>
      </c>
      <c r="DE7" s="481">
        <f>IF('ปฏิทิน'!DE5="","",CHOOSE(WEEKDAY('ปฏิทิน'!DE5,2),"จ.","อ.","พ.","พฤ.","ศ.","ส.","อา."))</f>
        <v/>
      </c>
      <c r="DF7" s="481">
        <f>IF('ปฏิทิน'!DF5="","",CHOOSE(WEEKDAY('ปฏิทิน'!DF5,2),"จ.","อ.","พ.","พฤ.","ศ.","ส.","อา."))</f>
        <v/>
      </c>
      <c r="DG7" s="481">
        <f>IF('ปฏิทิน'!DG5="","",CHOOSE(WEEKDAY('ปฏิทิน'!DG5,2),"จ.","อ.","พ.","พฤ.","ศ.","ส.","อา."))</f>
        <v/>
      </c>
      <c r="DH7" s="481">
        <f>IF('ปฏิทิน'!DH5="","",CHOOSE(WEEKDAY('ปฏิทิน'!DH5,2),"จ.","อ.","พ.","พฤ.","ศ.","ส.","อา."))</f>
        <v/>
      </c>
      <c r="DI7" s="481">
        <f>IF('ปฏิทิน'!DI5="","",CHOOSE(WEEKDAY('ปฏิทิน'!DI5,2),"จ.","อ.","พ.","พฤ.","ศ.","ส.","อา."))</f>
        <v/>
      </c>
      <c r="DJ7" s="481">
        <f>IF('ปฏิทิน'!DJ5="","",CHOOSE(WEEKDAY('ปฏิทิน'!DJ5,2),"จ.","อ.","พ.","พฤ.","ศ.","ส.","อา."))</f>
        <v/>
      </c>
      <c r="DK7" s="481">
        <f>IF('ปฏิทิน'!DK5="","",CHOOSE(WEEKDAY('ปฏิทิน'!DK5,2),"จ.","อ.","พ.","พฤ.","ศ.","ส.","อา."))</f>
        <v/>
      </c>
      <c r="DL7" s="481">
        <f>IF('ปฏิทิน'!DL5="","",CHOOSE(WEEKDAY('ปฏิทิน'!DL5,2),"จ.","อ.","พ.","พฤ.","ศ.","ส.","อา."))</f>
        <v/>
      </c>
      <c r="DM7" s="481">
        <f>IF('ปฏิทิน'!DM5="","",CHOOSE(WEEKDAY('ปฏิทิน'!DM5,2),"จ.","อ.","พ.","พฤ.","ศ.","ส.","อา."))</f>
        <v/>
      </c>
      <c r="DN7" s="481">
        <f>IF('ปฏิทิน'!DN5="","",CHOOSE(WEEKDAY('ปฏิทิน'!DN5,2),"จ.","อ.","พ.","พฤ.","ศ.","ส.","อา."))</f>
        <v/>
      </c>
      <c r="DO7" s="481">
        <f>IF('ปฏิทิน'!DO5="","",CHOOSE(WEEKDAY('ปฏิทิน'!DO5,2),"จ.","อ.","พ.","พฤ.","ศ.","ส.","อา."))</f>
        <v/>
      </c>
      <c r="DP7" s="481">
        <f>IF('ปฏิทิน'!DP5="","",CHOOSE(WEEKDAY('ปฏิทิน'!DP5,2),"จ.","อ.","พ.","พฤ.","ศ.","ส.","อา."))</f>
        <v/>
      </c>
      <c r="DQ7" s="481">
        <f>IF('ปฏิทิน'!DQ5="","",CHOOSE(WEEKDAY('ปฏิทิน'!DQ5,2),"จ.","อ.","พ.","พฤ.","ศ.","ส.","อา."))</f>
        <v/>
      </c>
      <c r="DR7" s="481">
        <f>IF('ปฏิทิน'!DR5="","",CHOOSE(WEEKDAY('ปฏิทิน'!DR5,2),"จ.","อ.","พ.","พฤ.","ศ.","ส.","อา."))</f>
        <v/>
      </c>
      <c r="DS7" s="481">
        <f>IF('ปฏิทิน'!DS5="","",CHOOSE(WEEKDAY('ปฏิทิน'!DS5,2),"จ.","อ.","พ.","พฤ.","ศ.","ส.","อา."))</f>
        <v/>
      </c>
      <c r="DT7" s="481">
        <f>IF('ปฏิทิน'!DT5="","",CHOOSE(WEEKDAY('ปฏิทิน'!DT5,2),"จ.","อ.","พ.","พฤ.","ศ.","ส.","อา."))</f>
        <v/>
      </c>
      <c r="DU7" s="481">
        <f>IF('ปฏิทิน'!DU5="","",CHOOSE(WEEKDAY('ปฏิทิน'!DU5,2),"จ.","อ.","พ.","พฤ.","ศ.","ส.","อา."))</f>
        <v/>
      </c>
      <c r="DV7" s="481">
        <f>IF('ปฏิทิน'!DV5="","",CHOOSE(WEEKDAY('ปฏิทิน'!DV5,2),"จ.","อ.","พ.","พฤ.","ศ.","ส.","อา."))</f>
        <v/>
      </c>
      <c r="DW7" s="481">
        <f>IF('ปฏิทิน'!DW5="","",CHOOSE(WEEKDAY('ปฏิทิน'!DW5,2),"จ.","อ.","พ.","พฤ.","ศ.","ส.","อา."))</f>
        <v/>
      </c>
      <c r="DX7" s="481">
        <f>IF('ปฏิทิน'!DX5="","",CHOOSE(WEEKDAY('ปฏิทิน'!DX5,2),"จ.","อ.","พ.","พฤ.","ศ.","ส.","อา."))</f>
        <v/>
      </c>
      <c r="DY7" s="481">
        <f>IF('ปฏิทิน'!DY5="","",CHOOSE(WEEKDAY('ปฏิทิน'!DY5,2),"จ.","อ.","พ.","พฤ.","ศ.","ส.","อา."))</f>
        <v/>
      </c>
      <c r="DZ7" s="481">
        <f>IF('ปฏิทิน'!DZ5="","",CHOOSE(WEEKDAY('ปฏิทิน'!DZ5,2),"จ.","อ.","พ.","พฤ.","ศ.","ส.","อา."))</f>
        <v/>
      </c>
      <c r="EA7" s="481">
        <f>IF('ปฏิทิน'!EA5="","",CHOOSE(WEEKDAY('ปฏิทิน'!EA5,2),"จ.","อ.","พ.","พฤ.","ศ.","ส.","อา."))</f>
        <v/>
      </c>
      <c r="EB7" s="481">
        <f>IF('ปฏิทิน'!EB5="","",CHOOSE(WEEKDAY('ปฏิทิน'!EB5,2),"จ.","อ.","พ.","พฤ.","ศ.","ส.","อา."))</f>
        <v/>
      </c>
      <c r="EC7" s="481">
        <f>IF('ปฏิทิน'!EC5="","",CHOOSE(WEEKDAY('ปฏิทิน'!EC5,2),"จ.","อ.","พ.","พฤ.","ศ.","ส.","อา."))</f>
        <v/>
      </c>
      <c r="ED7" s="481">
        <f>IF('ปฏิทิน'!ED5="","",CHOOSE(WEEKDAY('ปฏิทิน'!ED5,2),"จ.","อ.","พ.","พฤ.","ศ.","ส.","อา."))</f>
        <v/>
      </c>
      <c r="EE7" s="481">
        <f>IF('ปฏิทิน'!EE5="","",CHOOSE(WEEKDAY('ปฏิทิน'!EE5,2),"จ.","อ.","พ.","พฤ.","ศ.","ส.","อา."))</f>
        <v/>
      </c>
      <c r="EF7" s="481">
        <f>IF('ปฏิทิน'!EF5="","",CHOOSE(WEEKDAY('ปฏิทิน'!EF5,2),"จ.","อ.","พ.","พฤ.","ศ.","ส.","อา."))</f>
        <v/>
      </c>
      <c r="EG7" s="572" t="n"/>
      <c r="EJ7" s="571">
        <f>IF('ปฏิทิน'!EJ5="","",CHOOSE(WEEKDAY('ปฏิทิน'!EJ5,2),"จ.","อ.","พ.","พฤ.","ศ.","ส.","อา."))</f>
        <v/>
      </c>
      <c r="EK7" s="481">
        <f>IF('ปฏิทิน'!EK5="","",CHOOSE(WEEKDAY('ปฏิทิน'!EK5,2),"จ.","อ.","พ.","พฤ.","ศ.","ส.","อา."))</f>
        <v/>
      </c>
      <c r="EL7" s="481">
        <f>IF('ปฏิทิน'!EL5="","",CHOOSE(WEEKDAY('ปฏิทิน'!EL5,2),"จ.","อ.","พ.","พฤ.","ศ.","ส.","อา."))</f>
        <v/>
      </c>
      <c r="EM7" s="481">
        <f>IF('ปฏิทิน'!EM5="","",CHOOSE(WEEKDAY('ปฏิทิน'!EM5,2),"จ.","อ.","พ.","พฤ.","ศ.","ส.","อา."))</f>
        <v/>
      </c>
      <c r="EN7" s="481">
        <f>IF('ปฏิทิน'!EN5="","",CHOOSE(WEEKDAY('ปฏิทิน'!EN5,2),"จ.","อ.","พ.","พฤ.","ศ.","ส.","อา."))</f>
        <v/>
      </c>
      <c r="EO7" s="481">
        <f>IF('ปฏิทิน'!EO5="","",CHOOSE(WEEKDAY('ปฏิทิน'!EO5,2),"จ.","อ.","พ.","พฤ.","ศ.","ส.","อา."))</f>
        <v/>
      </c>
      <c r="EP7" s="481">
        <f>IF('ปฏิทิน'!EP5="","",CHOOSE(WEEKDAY('ปฏิทิน'!EP5,2),"จ.","อ.","พ.","พฤ.","ศ.","ส.","อา."))</f>
        <v/>
      </c>
      <c r="EQ7" s="481">
        <f>IF('ปฏิทิน'!EQ5="","",CHOOSE(WEEKDAY('ปฏิทิน'!EQ5,2),"จ.","อ.","พ.","พฤ.","ศ.","ส.","อา."))</f>
        <v/>
      </c>
      <c r="ER7" s="481">
        <f>IF('ปฏิทิน'!ER5="","",CHOOSE(WEEKDAY('ปฏิทิน'!ER5,2),"จ.","อ.","พ.","พฤ.","ศ.","ส.","อา."))</f>
        <v/>
      </c>
      <c r="ES7" s="481">
        <f>IF('ปฏิทิน'!ES5="","",CHOOSE(WEEKDAY('ปฏิทิน'!ES5,2),"จ.","อ.","พ.","พฤ.","ศ.","ส.","อา."))</f>
        <v/>
      </c>
      <c r="ET7" s="481">
        <f>IF('ปฏิทิน'!ET5="","",CHOOSE(WEEKDAY('ปฏิทิน'!ET5,2),"จ.","อ.","พ.","พฤ.","ศ.","ส.","อา."))</f>
        <v/>
      </c>
      <c r="EU7" s="481">
        <f>IF('ปฏิทิน'!EU5="","",CHOOSE(WEEKDAY('ปฏิทิน'!EU5,2),"จ.","อ.","พ.","พฤ.","ศ.","ส.","อา."))</f>
        <v/>
      </c>
      <c r="EV7" s="481">
        <f>IF('ปฏิทิน'!EV5="","",CHOOSE(WEEKDAY('ปฏิทิน'!EV5,2),"จ.","อ.","พ.","พฤ.","ศ.","ส.","อา."))</f>
        <v/>
      </c>
      <c r="EW7" s="481">
        <f>IF('ปฏิทิน'!EW5="","",CHOOSE(WEEKDAY('ปฏิทิน'!EW5,2),"จ.","อ.","พ.","พฤ.","ศ.","ส.","อา."))</f>
        <v/>
      </c>
      <c r="EX7" s="481">
        <f>IF('ปฏิทิน'!EX5="","",CHOOSE(WEEKDAY('ปฏิทิน'!EX5,2),"จ.","อ.","พ.","พฤ.","ศ.","ส.","อา."))</f>
        <v/>
      </c>
      <c r="EY7" s="481">
        <f>IF('ปฏิทิน'!EY5="","",CHOOSE(WEEKDAY('ปฏิทิน'!EY5,2),"จ.","อ.","พ.","พฤ.","ศ.","ส.","อา."))</f>
        <v/>
      </c>
      <c r="EZ7" s="481">
        <f>IF('ปฏิทิน'!EZ5="","",CHOOSE(WEEKDAY('ปฏิทิน'!EZ5,2),"จ.","อ.","พ.","พฤ.","ศ.","ส.","อา."))</f>
        <v/>
      </c>
      <c r="FA7" s="481">
        <f>IF('ปฏิทิน'!FA5="","",CHOOSE(WEEKDAY('ปฏิทิน'!FA5,2),"จ.","อ.","พ.","พฤ.","ศ.","ส.","อา."))</f>
        <v/>
      </c>
      <c r="FB7" s="481">
        <f>IF('ปฏิทิน'!FB5="","",CHOOSE(WEEKDAY('ปฏิทิน'!FB5,2),"จ.","อ.","พ.","พฤ.","ศ.","ส.","อา."))</f>
        <v/>
      </c>
      <c r="FC7" s="481">
        <f>IF('ปฏิทิน'!FC5="","",CHOOSE(WEEKDAY('ปฏิทิน'!FC5,2),"จ.","อ.","พ.","พฤ.","ศ.","ส.","อา."))</f>
        <v/>
      </c>
      <c r="FD7" s="481">
        <f>IF('ปฏิทิน'!FD5="","",CHOOSE(WEEKDAY('ปฏิทิน'!FD5,2),"จ.","อ.","พ.","พฤ.","ศ.","ส.","อา."))</f>
        <v/>
      </c>
      <c r="FE7" s="481">
        <f>IF('ปฏิทิน'!FE5="","",CHOOSE(WEEKDAY('ปฏิทิน'!FE5,2),"จ.","อ.","พ.","พฤ.","ศ.","ส.","อา."))</f>
        <v/>
      </c>
      <c r="FF7" s="481">
        <f>IF('ปฏิทิน'!FF5="","",CHOOSE(WEEKDAY('ปฏิทิน'!FF5,2),"จ.","อ.","พ.","พฤ.","ศ.","ส.","อา."))</f>
        <v/>
      </c>
      <c r="FG7" s="481">
        <f>IF('ปฏิทิน'!FG5="","",CHOOSE(WEEKDAY('ปฏิทิน'!FG5,2),"จ.","อ.","พ.","พฤ.","ศ.","ส.","อา."))</f>
        <v/>
      </c>
      <c r="FH7" s="481">
        <f>IF('ปฏิทิน'!FH5="","",CHOOSE(WEEKDAY('ปฏิทิน'!FH5,2),"จ.","อ.","พ.","พฤ.","ศ.","ส.","อา."))</f>
        <v/>
      </c>
      <c r="FI7" s="481">
        <f>IF('ปฏิทิน'!FI5="","",CHOOSE(WEEKDAY('ปฏิทิน'!FI5,2),"จ.","อ.","พ.","พฤ.","ศ.","ส.","อา."))</f>
        <v/>
      </c>
      <c r="FJ7" s="481">
        <f>IF('ปฏิทิน'!FJ5="","",CHOOSE(WEEKDAY('ปฏิทิน'!FJ5,2),"จ.","อ.","พ.","พฤ.","ศ.","ส.","อา."))</f>
        <v/>
      </c>
      <c r="FK7" s="481">
        <f>IF('ปฏิทิน'!FK5="","",CHOOSE(WEEKDAY('ปฏิทิน'!FK5,2),"จ.","อ.","พ.","พฤ.","ศ.","ส.","อา."))</f>
        <v/>
      </c>
      <c r="FL7" s="481">
        <f>IF('ปฏิทิน'!FL5="","",CHOOSE(WEEKDAY('ปฏิทิน'!FL5,2),"จ.","อ.","พ.","พฤ.","ศ.","ส.","อา."))</f>
        <v/>
      </c>
      <c r="FM7" s="481">
        <f>IF('ปฏิทิน'!FM5="","",CHOOSE(WEEKDAY('ปฏิทิน'!FM5,2),"จ.","อ.","พ.","พฤ.","ศ.","ส.","อา."))</f>
        <v/>
      </c>
      <c r="FN7" s="481">
        <f>IF('ปฏิทิน'!FN5="","",CHOOSE(WEEKDAY('ปฏิทิน'!FN5,2),"จ.","อ.","พ.","พฤ.","ศ.","ส.","อา."))</f>
        <v/>
      </c>
      <c r="FO7" s="572" t="n"/>
    </row>
    <row r="8" ht="64" customHeight="1">
      <c r="D8" s="573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572" t="n"/>
      <c r="AL8" s="573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572" t="n"/>
      <c r="BT8" s="573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572" t="n"/>
      <c r="DB8" s="573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572" t="n"/>
      <c r="EJ8" s="573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572" t="n"/>
    </row>
    <row r="9">
      <c r="A9" s="218" t="n">
        <v>1</v>
      </c>
      <c r="B9" s="219">
        <f>'ข้อมูลนักเรียน'!T9</f>
        <v/>
      </c>
      <c r="C9" s="574">
        <f>IF(B9="","",IFERROR(COUNTIF(D9:FQ9,"อ")/(COUNTIF(D9:FQ9,"อ")+COUNTIF(D9:FQ9,"ช")+COUNTIF(D9:FQ9,"ร")+COUNTIF(D9:FQ9,"ผ")),""))</f>
        <v/>
      </c>
      <c r="D9" s="57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576">
        <f>IF($B9="","",COUNTIF(D9:AH9,"อ"))</f>
        <v/>
      </c>
      <c r="AJ9" s="577">
        <f>IF($B9="","",COUNTIF(D9:AH9,"ช")+COUNTIF(D9:AH9,"ผ"))</f>
        <v/>
      </c>
      <c r="AK9" s="578">
        <f>IF($B9="","",COUNTIF(D9:AH9,"ร"))</f>
        <v/>
      </c>
      <c r="AL9" s="57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576">
        <f>IF($B9="","",COUNTIF(AL9:BP9,"อ"))</f>
        <v/>
      </c>
      <c r="BR9" s="577">
        <f>IF($B9="","",COUNTIF(AL9:BP9,"ช")+COUNTIF(AL9:BP9,"ผ"))</f>
        <v/>
      </c>
      <c r="BS9" s="578">
        <f>IF($B9="","",COUNTIF(AL9:BP9,"ร"))</f>
        <v/>
      </c>
      <c r="BT9" s="57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576">
        <f>IF($B9="","",COUNTIF(BT9:CX9,"อ"))</f>
        <v/>
      </c>
      <c r="CZ9" s="577">
        <f>IF($B9="","",COUNTIF(BT9:CX9,"ช")+COUNTIF(BT9:CX9,"ผ"))</f>
        <v/>
      </c>
      <c r="DA9" s="578">
        <f>IF($B9="","",COUNTIF(BT9:CX9,"ร"))</f>
        <v/>
      </c>
      <c r="DB9" s="57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576">
        <f>IF($B9="","",COUNTIF(DB9:EF9,"อ"))</f>
        <v/>
      </c>
      <c r="EH9" s="577">
        <f>IF($B9="","",COUNTIF(DB9:EF9,"ช")+COUNTIF(DB9:EF9,"ผ"))</f>
        <v/>
      </c>
      <c r="EI9" s="578">
        <f>IF($B9="","",COUNTIF(DB9:EF9,"ร"))</f>
        <v/>
      </c>
      <c r="EJ9" s="57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576">
        <f>IF($B9="","",COUNTIF(EJ9:FN9,"อ"))</f>
        <v/>
      </c>
      <c r="FP9" s="577">
        <f>IF($B9="","",COUNTIF(EJ9:FN9,"ช")+COUNTIF(EJ9:FN9,"ผ"))</f>
        <v/>
      </c>
      <c r="FQ9" s="578">
        <f>IF($B9="","",COUNTIF(EJ9:FN9,"ร"))</f>
        <v/>
      </c>
    </row>
    <row r="10">
      <c r="A10" s="226" t="n">
        <v>2</v>
      </c>
      <c r="B10" s="227">
        <f>'ข้อมูลนักเรียน'!T10</f>
        <v/>
      </c>
      <c r="C10" s="574">
        <f>IF(B10="","",IFERROR(COUNTIF(D10:FQ10,"อ")/(COUNTIF(D10:FQ10,"อ")+COUNTIF(D10:FQ10,"ช")+COUNTIF(D10:FQ10,"ร")+COUNTIF(D10:FQ10,"ผ")),""))</f>
        <v/>
      </c>
      <c r="D10" s="57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576">
        <f>IF($B10="","",COUNTIF(D10:AH10,"อ"))</f>
        <v/>
      </c>
      <c r="AJ10" s="577">
        <f>IF($B10="","",COUNTIF(D10:AH10,"ช")+COUNTIF(D10:AH10,"ผ"))</f>
        <v/>
      </c>
      <c r="AK10" s="578">
        <f>IF($B10="","",COUNTIF(D10:AH10,"ร"))</f>
        <v/>
      </c>
      <c r="AL10" s="57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576">
        <f>IF($B10="","",COUNTIF(AL10:BP10,"อ"))</f>
        <v/>
      </c>
      <c r="BR10" s="577">
        <f>IF($B10="","",COUNTIF(AL10:BP10,"ช")+COUNTIF(AL10:BP10,"ผ"))</f>
        <v/>
      </c>
      <c r="BS10" s="578">
        <f>IF($B10="","",COUNTIF(AL10:BP10,"ร"))</f>
        <v/>
      </c>
      <c r="BT10" s="57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576">
        <f>IF($B10="","",COUNTIF(BT10:CX10,"อ"))</f>
        <v/>
      </c>
      <c r="CZ10" s="577">
        <f>IF($B10="","",COUNTIF(BT10:CX10,"ช")+COUNTIF(BT10:CX10,"ผ"))</f>
        <v/>
      </c>
      <c r="DA10" s="578">
        <f>IF($B10="","",COUNTIF(BT10:CX10,"ร"))</f>
        <v/>
      </c>
      <c r="DB10" s="57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576">
        <f>IF($B10="","",COUNTIF(DB10:EF10,"อ"))</f>
        <v/>
      </c>
      <c r="EH10" s="577">
        <f>IF($B10="","",COUNTIF(DB10:EF10,"ช")+COUNTIF(DB10:EF10,"ผ"))</f>
        <v/>
      </c>
      <c r="EI10" s="578">
        <f>IF($B10="","",COUNTIF(DB10:EF10,"ร"))</f>
        <v/>
      </c>
      <c r="EJ10" s="57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576">
        <f>IF($B10="","",COUNTIF(EJ10:FN10,"อ"))</f>
        <v/>
      </c>
      <c r="FP10" s="577">
        <f>IF($B10="","",COUNTIF(EJ10:FN10,"ช")+COUNTIF(EJ10:FN10,"ผ"))</f>
        <v/>
      </c>
      <c r="FQ10" s="578">
        <f>IF($B10="","",COUNTIF(EJ10:FN10,"ร"))</f>
        <v/>
      </c>
    </row>
    <row r="11">
      <c r="A11" s="218" t="n">
        <v>3</v>
      </c>
      <c r="B11" s="219">
        <f>'ข้อมูลนักเรียน'!T11</f>
        <v/>
      </c>
      <c r="C11" s="574">
        <f>IF(B11="","",IFERROR(COUNTIF(D11:FQ11,"อ")/(COUNTIF(D11:FQ11,"อ")+COUNTIF(D11:FQ11,"ช")+COUNTIF(D11:FQ11,"ร")+COUNTIF(D11:FQ11,"ผ")),""))</f>
        <v/>
      </c>
      <c r="D11" s="57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576">
        <f>IF($B11="","",COUNTIF(D11:AH11,"อ"))</f>
        <v/>
      </c>
      <c r="AJ11" s="577">
        <f>IF($B11="","",COUNTIF(D11:AH11,"ช")+COUNTIF(D11:AH11,"ผ"))</f>
        <v/>
      </c>
      <c r="AK11" s="578">
        <f>IF($B11="","",COUNTIF(D11:AH11,"ร"))</f>
        <v/>
      </c>
      <c r="AL11" s="57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576">
        <f>IF($B11="","",COUNTIF(AL11:BP11,"อ"))</f>
        <v/>
      </c>
      <c r="BR11" s="577">
        <f>IF($B11="","",COUNTIF(AL11:BP11,"ช")+COUNTIF(AL11:BP11,"ผ"))</f>
        <v/>
      </c>
      <c r="BS11" s="578">
        <f>IF($B11="","",COUNTIF(AL11:BP11,"ร"))</f>
        <v/>
      </c>
      <c r="BT11" s="57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576">
        <f>IF($B11="","",COUNTIF(BT11:CX11,"อ"))</f>
        <v/>
      </c>
      <c r="CZ11" s="577">
        <f>IF($B11="","",COUNTIF(BT11:CX11,"ช")+COUNTIF(BT11:CX11,"ผ"))</f>
        <v/>
      </c>
      <c r="DA11" s="578">
        <f>IF($B11="","",COUNTIF(BT11:CX11,"ร"))</f>
        <v/>
      </c>
      <c r="DB11" s="57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576">
        <f>IF($B11="","",COUNTIF(DB11:EF11,"อ"))</f>
        <v/>
      </c>
      <c r="EH11" s="577">
        <f>IF($B11="","",COUNTIF(DB11:EF11,"ช")+COUNTIF(DB11:EF11,"ผ"))</f>
        <v/>
      </c>
      <c r="EI11" s="578">
        <f>IF($B11="","",COUNTIF(DB11:EF11,"ร"))</f>
        <v/>
      </c>
      <c r="EJ11" s="57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576">
        <f>IF($B11="","",COUNTIF(EJ11:FN11,"อ"))</f>
        <v/>
      </c>
      <c r="FP11" s="577">
        <f>IF($B11="","",COUNTIF(EJ11:FN11,"ช")+COUNTIF(EJ11:FN11,"ผ"))</f>
        <v/>
      </c>
      <c r="FQ11" s="578">
        <f>IF($B11="","",COUNTIF(EJ11:FN11,"ร"))</f>
        <v/>
      </c>
    </row>
    <row r="12">
      <c r="A12" s="226" t="n">
        <v>4</v>
      </c>
      <c r="B12" s="227">
        <f>'ข้อมูลนักเรียน'!T12</f>
        <v/>
      </c>
      <c r="C12" s="574">
        <f>IF(B12="","",IFERROR(COUNTIF(D12:FQ12,"อ")/(COUNTIF(D12:FQ12,"อ")+COUNTIF(D12:FQ12,"ช")+COUNTIF(D12:FQ12,"ร")+COUNTIF(D12:FQ12,"ผ")),""))</f>
        <v/>
      </c>
      <c r="D12" s="57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576">
        <f>IF($B12="","",COUNTIF(D12:AH12,"อ"))</f>
        <v/>
      </c>
      <c r="AJ12" s="577">
        <f>IF($B12="","",COUNTIF(D12:AH12,"ช")+COUNTIF(D12:AH12,"ผ"))</f>
        <v/>
      </c>
      <c r="AK12" s="578">
        <f>IF($B12="","",COUNTIF(D12:AH12,"ร"))</f>
        <v/>
      </c>
      <c r="AL12" s="57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576">
        <f>IF($B12="","",COUNTIF(AL12:BP12,"อ"))</f>
        <v/>
      </c>
      <c r="BR12" s="577">
        <f>IF($B12="","",COUNTIF(AL12:BP12,"ช")+COUNTIF(AL12:BP12,"ผ"))</f>
        <v/>
      </c>
      <c r="BS12" s="578">
        <f>IF($B12="","",COUNTIF(AL12:BP12,"ร"))</f>
        <v/>
      </c>
      <c r="BT12" s="57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576">
        <f>IF($B12="","",COUNTIF(BT12:CX12,"อ"))</f>
        <v/>
      </c>
      <c r="CZ12" s="577">
        <f>IF($B12="","",COUNTIF(BT12:CX12,"ช")+COUNTIF(BT12:CX12,"ผ"))</f>
        <v/>
      </c>
      <c r="DA12" s="578">
        <f>IF($B12="","",COUNTIF(BT12:CX12,"ร"))</f>
        <v/>
      </c>
      <c r="DB12" s="57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576">
        <f>IF($B12="","",COUNTIF(DB12:EF12,"อ"))</f>
        <v/>
      </c>
      <c r="EH12" s="577">
        <f>IF($B12="","",COUNTIF(DB12:EF12,"ช")+COUNTIF(DB12:EF12,"ผ"))</f>
        <v/>
      </c>
      <c r="EI12" s="578">
        <f>IF($B12="","",COUNTIF(DB12:EF12,"ร"))</f>
        <v/>
      </c>
      <c r="EJ12" s="57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576">
        <f>IF($B12="","",COUNTIF(EJ12:FN12,"อ"))</f>
        <v/>
      </c>
      <c r="FP12" s="577">
        <f>IF($B12="","",COUNTIF(EJ12:FN12,"ช")+COUNTIF(EJ12:FN12,"ผ"))</f>
        <v/>
      </c>
      <c r="FQ12" s="578">
        <f>IF($B12="","",COUNTIF(EJ12:FN12,"ร"))</f>
        <v/>
      </c>
    </row>
    <row r="13">
      <c r="A13" s="218" t="n">
        <v>5</v>
      </c>
      <c r="B13" s="219">
        <f>'ข้อมูลนักเรียน'!T13</f>
        <v/>
      </c>
      <c r="C13" s="574">
        <f>IF(B13="","",IFERROR(COUNTIF(D13:FQ13,"อ")/(COUNTIF(D13:FQ13,"อ")+COUNTIF(D13:FQ13,"ช")+COUNTIF(D13:FQ13,"ร")+COUNTIF(D13:FQ13,"ผ")),""))</f>
        <v/>
      </c>
      <c r="D13" s="57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576">
        <f>IF($B13="","",COUNTIF(D13:AH13,"อ"))</f>
        <v/>
      </c>
      <c r="AJ13" s="577">
        <f>IF($B13="","",COUNTIF(D13:AH13,"ช")+COUNTIF(D13:AH13,"ผ"))</f>
        <v/>
      </c>
      <c r="AK13" s="578">
        <f>IF($B13="","",COUNTIF(D13:AH13,"ร"))</f>
        <v/>
      </c>
      <c r="AL13" s="57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576">
        <f>IF($B13="","",COUNTIF(AL13:BP13,"อ"))</f>
        <v/>
      </c>
      <c r="BR13" s="577">
        <f>IF($B13="","",COUNTIF(AL13:BP13,"ช")+COUNTIF(AL13:BP13,"ผ"))</f>
        <v/>
      </c>
      <c r="BS13" s="578">
        <f>IF($B13="","",COUNTIF(AL13:BP13,"ร"))</f>
        <v/>
      </c>
      <c r="BT13" s="57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576">
        <f>IF($B13="","",COUNTIF(BT13:CX13,"อ"))</f>
        <v/>
      </c>
      <c r="CZ13" s="577">
        <f>IF($B13="","",COUNTIF(BT13:CX13,"ช")+COUNTIF(BT13:CX13,"ผ"))</f>
        <v/>
      </c>
      <c r="DA13" s="578">
        <f>IF($B13="","",COUNTIF(BT13:CX13,"ร"))</f>
        <v/>
      </c>
      <c r="DB13" s="57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576">
        <f>IF($B13="","",COUNTIF(DB13:EF13,"อ"))</f>
        <v/>
      </c>
      <c r="EH13" s="577">
        <f>IF($B13="","",COUNTIF(DB13:EF13,"ช")+COUNTIF(DB13:EF13,"ผ"))</f>
        <v/>
      </c>
      <c r="EI13" s="578">
        <f>IF($B13="","",COUNTIF(DB13:EF13,"ร"))</f>
        <v/>
      </c>
      <c r="EJ13" s="57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576">
        <f>IF($B13="","",COUNTIF(EJ13:FN13,"อ"))</f>
        <v/>
      </c>
      <c r="FP13" s="577">
        <f>IF($B13="","",COUNTIF(EJ13:FN13,"ช")+COUNTIF(EJ13:FN13,"ผ"))</f>
        <v/>
      </c>
      <c r="FQ13" s="578">
        <f>IF($B13="","",COUNTIF(EJ13:FN13,"ร"))</f>
        <v/>
      </c>
    </row>
    <row r="14">
      <c r="A14" s="579" t="inlineStr">
        <is>
          <t>ทำเองได้ (คน)</t>
        </is>
      </c>
      <c r="B14" s="184" t="n"/>
      <c r="C14" s="184" t="n"/>
      <c r="D14" s="580">
        <f>IF(D$4&lt;&gt;1,"",COUNTIF(D9:D13,"อ"))</f>
        <v/>
      </c>
      <c r="E14" s="581">
        <f>IF(E$4&lt;&gt;1,"",COUNTIF(E9:E13,"อ"))</f>
        <v/>
      </c>
      <c r="F14" s="581">
        <f>IF(F$4&lt;&gt;1,"",COUNTIF(F9:F13,"อ"))</f>
        <v/>
      </c>
      <c r="G14" s="581">
        <f>IF(G$4&lt;&gt;1,"",COUNTIF(G9:G13,"อ"))</f>
        <v/>
      </c>
      <c r="H14" s="581">
        <f>IF(H$4&lt;&gt;1,"",COUNTIF(H9:H13,"อ"))</f>
        <v/>
      </c>
      <c r="I14" s="581">
        <f>IF(I$4&lt;&gt;1,"",COUNTIF(I9:I13,"อ"))</f>
        <v/>
      </c>
      <c r="J14" s="581">
        <f>IF(J$4&lt;&gt;1,"",COUNTIF(J9:J13,"อ"))</f>
        <v/>
      </c>
      <c r="K14" s="581">
        <f>IF(K$4&lt;&gt;1,"",COUNTIF(K9:K13,"อ"))</f>
        <v/>
      </c>
      <c r="L14" s="581">
        <f>IF(L$4&lt;&gt;1,"",COUNTIF(L9:L13,"อ"))</f>
        <v/>
      </c>
      <c r="M14" s="581">
        <f>IF(M$4&lt;&gt;1,"",COUNTIF(M9:M13,"อ"))</f>
        <v/>
      </c>
      <c r="N14" s="581">
        <f>IF(N$4&lt;&gt;1,"",COUNTIF(N9:N13,"อ"))</f>
        <v/>
      </c>
      <c r="O14" s="581">
        <f>IF(O$4&lt;&gt;1,"",COUNTIF(O9:O13,"อ"))</f>
        <v/>
      </c>
      <c r="P14" s="581">
        <f>IF(P$4&lt;&gt;1,"",COUNTIF(P9:P13,"อ"))</f>
        <v/>
      </c>
      <c r="Q14" s="581">
        <f>IF(Q$4&lt;&gt;1,"",COUNTIF(Q9:Q13,"อ"))</f>
        <v/>
      </c>
      <c r="R14" s="581">
        <f>IF(R$4&lt;&gt;1,"",COUNTIF(R9:R13,"อ"))</f>
        <v/>
      </c>
      <c r="S14" s="581">
        <f>IF(S$4&lt;&gt;1,"",COUNTIF(S9:S13,"อ"))</f>
        <v/>
      </c>
      <c r="T14" s="581">
        <f>IF(T$4&lt;&gt;1,"",COUNTIF(T9:T13,"อ"))</f>
        <v/>
      </c>
      <c r="U14" s="581">
        <f>IF(U$4&lt;&gt;1,"",COUNTIF(U9:U13,"อ"))</f>
        <v/>
      </c>
      <c r="V14" s="581">
        <f>IF(V$4&lt;&gt;1,"",COUNTIF(V9:V13,"อ"))</f>
        <v/>
      </c>
      <c r="W14" s="581">
        <f>IF(W$4&lt;&gt;1,"",COUNTIF(W9:W13,"อ"))</f>
        <v/>
      </c>
      <c r="X14" s="581">
        <f>IF(X$4&lt;&gt;1,"",COUNTIF(X9:X13,"อ"))</f>
        <v/>
      </c>
      <c r="Y14" s="581">
        <f>IF(Y$4&lt;&gt;1,"",COUNTIF(Y9:Y13,"อ"))</f>
        <v/>
      </c>
      <c r="Z14" s="581">
        <f>IF(Z$4&lt;&gt;1,"",COUNTIF(Z9:Z13,"อ"))</f>
        <v/>
      </c>
      <c r="AA14" s="581">
        <f>IF(AA$4&lt;&gt;1,"",COUNTIF(AA9:AA13,"อ"))</f>
        <v/>
      </c>
      <c r="AB14" s="581">
        <f>IF(AB$4&lt;&gt;1,"",COUNTIF(AB9:AB13,"อ"))</f>
        <v/>
      </c>
      <c r="AC14" s="581">
        <f>IF(AC$4&lt;&gt;1,"",COUNTIF(AC9:AC13,"อ"))</f>
        <v/>
      </c>
      <c r="AD14" s="581">
        <f>IF(AD$4&lt;&gt;1,"",COUNTIF(AD9:AD13,"อ"))</f>
        <v/>
      </c>
      <c r="AE14" s="581">
        <f>IF(AE$4&lt;&gt;1,"",COUNTIF(AE9:AE13,"อ"))</f>
        <v/>
      </c>
      <c r="AF14" s="581">
        <f>IF(AF$4&lt;&gt;1,"",COUNTIF(AF9:AF13,"อ"))</f>
        <v/>
      </c>
      <c r="AG14" s="581">
        <f>IF(AG$4&lt;&gt;1,"",COUNTIF(AG9:AG13,"อ"))</f>
        <v/>
      </c>
      <c r="AH14" s="581">
        <f>IF(AH$4&lt;&gt;1,"",COUNTIF(AH9:AH13,"อ"))</f>
        <v/>
      </c>
      <c r="AI14" s="582">
        <f>SUM(AI9:AI13)</f>
        <v/>
      </c>
      <c r="AJ14" s="583">
        <f>SUM(AJ9:AJ13)</f>
        <v/>
      </c>
      <c r="AK14" s="584">
        <f>SUM(AK9:AK13)</f>
        <v/>
      </c>
      <c r="AL14" s="580">
        <f>IF(AL$4&lt;&gt;1,"",COUNTIF(AL9:AL13,"อ"))</f>
        <v/>
      </c>
      <c r="AM14" s="581">
        <f>IF(AM$4&lt;&gt;1,"",COUNTIF(AM9:AM13,"อ"))</f>
        <v/>
      </c>
      <c r="AN14" s="581">
        <f>IF(AN$4&lt;&gt;1,"",COUNTIF(AN9:AN13,"อ"))</f>
        <v/>
      </c>
      <c r="AO14" s="581">
        <f>IF(AO$4&lt;&gt;1,"",COUNTIF(AO9:AO13,"อ"))</f>
        <v/>
      </c>
      <c r="AP14" s="581">
        <f>IF(AP$4&lt;&gt;1,"",COUNTIF(AP9:AP13,"อ"))</f>
        <v/>
      </c>
      <c r="AQ14" s="581">
        <f>IF(AQ$4&lt;&gt;1,"",COUNTIF(AQ9:AQ13,"อ"))</f>
        <v/>
      </c>
      <c r="AR14" s="581">
        <f>IF(AR$4&lt;&gt;1,"",COUNTIF(AR9:AR13,"อ"))</f>
        <v/>
      </c>
      <c r="AS14" s="581">
        <f>IF(AS$4&lt;&gt;1,"",COUNTIF(AS9:AS13,"อ"))</f>
        <v/>
      </c>
      <c r="AT14" s="581">
        <f>IF(AT$4&lt;&gt;1,"",COUNTIF(AT9:AT13,"อ"))</f>
        <v/>
      </c>
      <c r="AU14" s="581">
        <f>IF(AU$4&lt;&gt;1,"",COUNTIF(AU9:AU13,"อ"))</f>
        <v/>
      </c>
      <c r="AV14" s="581">
        <f>IF(AV$4&lt;&gt;1,"",COUNTIF(AV9:AV13,"อ"))</f>
        <v/>
      </c>
      <c r="AW14" s="581">
        <f>IF(AW$4&lt;&gt;1,"",COUNTIF(AW9:AW13,"อ"))</f>
        <v/>
      </c>
      <c r="AX14" s="581">
        <f>IF(AX$4&lt;&gt;1,"",COUNTIF(AX9:AX13,"อ"))</f>
        <v/>
      </c>
      <c r="AY14" s="581">
        <f>IF(AY$4&lt;&gt;1,"",COUNTIF(AY9:AY13,"อ"))</f>
        <v/>
      </c>
      <c r="AZ14" s="581">
        <f>IF(AZ$4&lt;&gt;1,"",COUNTIF(AZ9:AZ13,"อ"))</f>
        <v/>
      </c>
      <c r="BA14" s="581">
        <f>IF(BA$4&lt;&gt;1,"",COUNTIF(BA9:BA13,"อ"))</f>
        <v/>
      </c>
      <c r="BB14" s="581">
        <f>IF(BB$4&lt;&gt;1,"",COUNTIF(BB9:BB13,"อ"))</f>
        <v/>
      </c>
      <c r="BC14" s="581">
        <f>IF(BC$4&lt;&gt;1,"",COUNTIF(BC9:BC13,"อ"))</f>
        <v/>
      </c>
      <c r="BD14" s="581">
        <f>IF(BD$4&lt;&gt;1,"",COUNTIF(BD9:BD13,"อ"))</f>
        <v/>
      </c>
      <c r="BE14" s="581">
        <f>IF(BE$4&lt;&gt;1,"",COUNTIF(BE9:BE13,"อ"))</f>
        <v/>
      </c>
      <c r="BF14" s="581">
        <f>IF(BF$4&lt;&gt;1,"",COUNTIF(BF9:BF13,"อ"))</f>
        <v/>
      </c>
      <c r="BG14" s="581">
        <f>IF(BG$4&lt;&gt;1,"",COUNTIF(BG9:BG13,"อ"))</f>
        <v/>
      </c>
      <c r="BH14" s="581">
        <f>IF(BH$4&lt;&gt;1,"",COUNTIF(BH9:BH13,"อ"))</f>
        <v/>
      </c>
      <c r="BI14" s="581">
        <f>IF(BI$4&lt;&gt;1,"",COUNTIF(BI9:BI13,"อ"))</f>
        <v/>
      </c>
      <c r="BJ14" s="581">
        <f>IF(BJ$4&lt;&gt;1,"",COUNTIF(BJ9:BJ13,"อ"))</f>
        <v/>
      </c>
      <c r="BK14" s="581">
        <f>IF(BK$4&lt;&gt;1,"",COUNTIF(BK9:BK13,"อ"))</f>
        <v/>
      </c>
      <c r="BL14" s="581">
        <f>IF(BL$4&lt;&gt;1,"",COUNTIF(BL9:BL13,"อ"))</f>
        <v/>
      </c>
      <c r="BM14" s="581">
        <f>IF(BM$4&lt;&gt;1,"",COUNTIF(BM9:BM13,"อ"))</f>
        <v/>
      </c>
      <c r="BN14" s="581">
        <f>IF(BN$4&lt;&gt;1,"",COUNTIF(BN9:BN13,"อ"))</f>
        <v/>
      </c>
      <c r="BO14" s="581">
        <f>IF(BO$4&lt;&gt;1,"",COUNTIF(BO9:BO13,"อ"))</f>
        <v/>
      </c>
      <c r="BP14" s="581">
        <f>IF(BP$4&lt;&gt;1,"",COUNTIF(BP9:BP13,"อ"))</f>
        <v/>
      </c>
      <c r="BQ14" s="582">
        <f>SUM(BQ9:BQ13)</f>
        <v/>
      </c>
      <c r="BR14" s="583">
        <f>SUM(BR9:BR13)</f>
        <v/>
      </c>
      <c r="BS14" s="584">
        <f>SUM(BS9:BS13)</f>
        <v/>
      </c>
      <c r="BT14" s="580">
        <f>IF(BT$4&lt;&gt;1,"",COUNTIF(BT9:BT13,"อ"))</f>
        <v/>
      </c>
      <c r="BU14" s="581">
        <f>IF(BU$4&lt;&gt;1,"",COUNTIF(BU9:BU13,"อ"))</f>
        <v/>
      </c>
      <c r="BV14" s="581">
        <f>IF(BV$4&lt;&gt;1,"",COUNTIF(BV9:BV13,"อ"))</f>
        <v/>
      </c>
      <c r="BW14" s="581">
        <f>IF(BW$4&lt;&gt;1,"",COUNTIF(BW9:BW13,"อ"))</f>
        <v/>
      </c>
      <c r="BX14" s="581">
        <f>IF(BX$4&lt;&gt;1,"",COUNTIF(BX9:BX13,"อ"))</f>
        <v/>
      </c>
      <c r="BY14" s="581">
        <f>IF(BY$4&lt;&gt;1,"",COUNTIF(BY9:BY13,"อ"))</f>
        <v/>
      </c>
      <c r="BZ14" s="581">
        <f>IF(BZ$4&lt;&gt;1,"",COUNTIF(BZ9:BZ13,"อ"))</f>
        <v/>
      </c>
      <c r="CA14" s="581">
        <f>IF(CA$4&lt;&gt;1,"",COUNTIF(CA9:CA13,"อ"))</f>
        <v/>
      </c>
      <c r="CB14" s="581">
        <f>IF(CB$4&lt;&gt;1,"",COUNTIF(CB9:CB13,"อ"))</f>
        <v/>
      </c>
      <c r="CC14" s="581">
        <f>IF(CC$4&lt;&gt;1,"",COUNTIF(CC9:CC13,"อ"))</f>
        <v/>
      </c>
      <c r="CD14" s="581">
        <f>IF(CD$4&lt;&gt;1,"",COUNTIF(CD9:CD13,"อ"))</f>
        <v/>
      </c>
      <c r="CE14" s="581">
        <f>IF(CE$4&lt;&gt;1,"",COUNTIF(CE9:CE13,"อ"))</f>
        <v/>
      </c>
      <c r="CF14" s="581">
        <f>IF(CF$4&lt;&gt;1,"",COUNTIF(CF9:CF13,"อ"))</f>
        <v/>
      </c>
      <c r="CG14" s="581">
        <f>IF(CG$4&lt;&gt;1,"",COUNTIF(CG9:CG13,"อ"))</f>
        <v/>
      </c>
      <c r="CH14" s="581">
        <f>IF(CH$4&lt;&gt;1,"",COUNTIF(CH9:CH13,"อ"))</f>
        <v/>
      </c>
      <c r="CI14" s="581">
        <f>IF(CI$4&lt;&gt;1,"",COUNTIF(CI9:CI13,"อ"))</f>
        <v/>
      </c>
      <c r="CJ14" s="581">
        <f>IF(CJ$4&lt;&gt;1,"",COUNTIF(CJ9:CJ13,"อ"))</f>
        <v/>
      </c>
      <c r="CK14" s="581">
        <f>IF(CK$4&lt;&gt;1,"",COUNTIF(CK9:CK13,"อ"))</f>
        <v/>
      </c>
      <c r="CL14" s="581">
        <f>IF(CL$4&lt;&gt;1,"",COUNTIF(CL9:CL13,"อ"))</f>
        <v/>
      </c>
      <c r="CM14" s="581">
        <f>IF(CM$4&lt;&gt;1,"",COUNTIF(CM9:CM13,"อ"))</f>
        <v/>
      </c>
      <c r="CN14" s="581">
        <f>IF(CN$4&lt;&gt;1,"",COUNTIF(CN9:CN13,"อ"))</f>
        <v/>
      </c>
      <c r="CO14" s="581">
        <f>IF(CO$4&lt;&gt;1,"",COUNTIF(CO9:CO13,"อ"))</f>
        <v/>
      </c>
      <c r="CP14" s="581">
        <f>IF(CP$4&lt;&gt;1,"",COUNTIF(CP9:CP13,"อ"))</f>
        <v/>
      </c>
      <c r="CQ14" s="581">
        <f>IF(CQ$4&lt;&gt;1,"",COUNTIF(CQ9:CQ13,"อ"))</f>
        <v/>
      </c>
      <c r="CR14" s="581">
        <f>IF(CR$4&lt;&gt;1,"",COUNTIF(CR9:CR13,"อ"))</f>
        <v/>
      </c>
      <c r="CS14" s="581">
        <f>IF(CS$4&lt;&gt;1,"",COUNTIF(CS9:CS13,"อ"))</f>
        <v/>
      </c>
      <c r="CT14" s="581">
        <f>IF(CT$4&lt;&gt;1,"",COUNTIF(CT9:CT13,"อ"))</f>
        <v/>
      </c>
      <c r="CU14" s="581">
        <f>IF(CU$4&lt;&gt;1,"",COUNTIF(CU9:CU13,"อ"))</f>
        <v/>
      </c>
      <c r="CV14" s="581">
        <f>IF(CV$4&lt;&gt;1,"",COUNTIF(CV9:CV13,"อ"))</f>
        <v/>
      </c>
      <c r="CW14" s="581">
        <f>IF(CW$4&lt;&gt;1,"",COUNTIF(CW9:CW13,"อ"))</f>
        <v/>
      </c>
      <c r="CX14" s="581">
        <f>IF(CX$4&lt;&gt;1,"",COUNTIF(CX9:CX13,"อ"))</f>
        <v/>
      </c>
      <c r="CY14" s="582">
        <f>SUM(CY9:CY13)</f>
        <v/>
      </c>
      <c r="CZ14" s="583">
        <f>SUM(CZ9:CZ13)</f>
        <v/>
      </c>
      <c r="DA14" s="584">
        <f>SUM(DA9:DA13)</f>
        <v/>
      </c>
      <c r="DB14" s="580">
        <f>IF(DB$4&lt;&gt;1,"",COUNTIF(DB9:DB13,"อ"))</f>
        <v/>
      </c>
      <c r="DC14" s="581">
        <f>IF(DC$4&lt;&gt;1,"",COUNTIF(DC9:DC13,"อ"))</f>
        <v/>
      </c>
      <c r="DD14" s="581">
        <f>IF(DD$4&lt;&gt;1,"",COUNTIF(DD9:DD13,"อ"))</f>
        <v/>
      </c>
      <c r="DE14" s="581">
        <f>IF(DE$4&lt;&gt;1,"",COUNTIF(DE9:DE13,"อ"))</f>
        <v/>
      </c>
      <c r="DF14" s="581">
        <f>IF(DF$4&lt;&gt;1,"",COUNTIF(DF9:DF13,"อ"))</f>
        <v/>
      </c>
      <c r="DG14" s="581">
        <f>IF(DG$4&lt;&gt;1,"",COUNTIF(DG9:DG13,"อ"))</f>
        <v/>
      </c>
      <c r="DH14" s="581">
        <f>IF(DH$4&lt;&gt;1,"",COUNTIF(DH9:DH13,"อ"))</f>
        <v/>
      </c>
      <c r="DI14" s="581">
        <f>IF(DI$4&lt;&gt;1,"",COUNTIF(DI9:DI13,"อ"))</f>
        <v/>
      </c>
      <c r="DJ14" s="581">
        <f>IF(DJ$4&lt;&gt;1,"",COUNTIF(DJ9:DJ13,"อ"))</f>
        <v/>
      </c>
      <c r="DK14" s="581">
        <f>IF(DK$4&lt;&gt;1,"",COUNTIF(DK9:DK13,"อ"))</f>
        <v/>
      </c>
      <c r="DL14" s="581">
        <f>IF(DL$4&lt;&gt;1,"",COUNTIF(DL9:DL13,"อ"))</f>
        <v/>
      </c>
      <c r="DM14" s="581">
        <f>IF(DM$4&lt;&gt;1,"",COUNTIF(DM9:DM13,"อ"))</f>
        <v/>
      </c>
      <c r="DN14" s="581">
        <f>IF(DN$4&lt;&gt;1,"",COUNTIF(DN9:DN13,"อ"))</f>
        <v/>
      </c>
      <c r="DO14" s="581">
        <f>IF(DO$4&lt;&gt;1,"",COUNTIF(DO9:DO13,"อ"))</f>
        <v/>
      </c>
      <c r="DP14" s="581">
        <f>IF(DP$4&lt;&gt;1,"",COUNTIF(DP9:DP13,"อ"))</f>
        <v/>
      </c>
      <c r="DQ14" s="581">
        <f>IF(DQ$4&lt;&gt;1,"",COUNTIF(DQ9:DQ13,"อ"))</f>
        <v/>
      </c>
      <c r="DR14" s="581">
        <f>IF(DR$4&lt;&gt;1,"",COUNTIF(DR9:DR13,"อ"))</f>
        <v/>
      </c>
      <c r="DS14" s="581">
        <f>IF(DS$4&lt;&gt;1,"",COUNTIF(DS9:DS13,"อ"))</f>
        <v/>
      </c>
      <c r="DT14" s="581">
        <f>IF(DT$4&lt;&gt;1,"",COUNTIF(DT9:DT13,"อ"))</f>
        <v/>
      </c>
      <c r="DU14" s="581">
        <f>IF(DU$4&lt;&gt;1,"",COUNTIF(DU9:DU13,"อ"))</f>
        <v/>
      </c>
      <c r="DV14" s="581">
        <f>IF(DV$4&lt;&gt;1,"",COUNTIF(DV9:DV13,"อ"))</f>
        <v/>
      </c>
      <c r="DW14" s="581">
        <f>IF(DW$4&lt;&gt;1,"",COUNTIF(DW9:DW13,"อ"))</f>
        <v/>
      </c>
      <c r="DX14" s="581">
        <f>IF(DX$4&lt;&gt;1,"",COUNTIF(DX9:DX13,"อ"))</f>
        <v/>
      </c>
      <c r="DY14" s="581">
        <f>IF(DY$4&lt;&gt;1,"",COUNTIF(DY9:DY13,"อ"))</f>
        <v/>
      </c>
      <c r="DZ14" s="581">
        <f>IF(DZ$4&lt;&gt;1,"",COUNTIF(DZ9:DZ13,"อ"))</f>
        <v/>
      </c>
      <c r="EA14" s="581">
        <f>IF(EA$4&lt;&gt;1,"",COUNTIF(EA9:EA13,"อ"))</f>
        <v/>
      </c>
      <c r="EB14" s="581">
        <f>IF(EB$4&lt;&gt;1,"",COUNTIF(EB9:EB13,"อ"))</f>
        <v/>
      </c>
      <c r="EC14" s="581">
        <f>IF(EC$4&lt;&gt;1,"",COUNTIF(EC9:EC13,"อ"))</f>
        <v/>
      </c>
      <c r="ED14" s="581">
        <f>IF(ED$4&lt;&gt;1,"",COUNTIF(ED9:ED13,"อ"))</f>
        <v/>
      </c>
      <c r="EE14" s="581">
        <f>IF(EE$4&lt;&gt;1,"",COUNTIF(EE9:EE13,"อ"))</f>
        <v/>
      </c>
      <c r="EF14" s="581">
        <f>IF(EF$4&lt;&gt;1,"",COUNTIF(EF9:EF13,"อ"))</f>
        <v/>
      </c>
      <c r="EG14" s="582">
        <f>SUM(EG9:EG13)</f>
        <v/>
      </c>
      <c r="EH14" s="583">
        <f>SUM(EH9:EH13)</f>
        <v/>
      </c>
      <c r="EI14" s="584">
        <f>SUM(EI9:EI13)</f>
        <v/>
      </c>
      <c r="EJ14" s="580">
        <f>IF(EJ$4&lt;&gt;1,"",COUNTIF(EJ9:EJ13,"อ"))</f>
        <v/>
      </c>
      <c r="EK14" s="581">
        <f>IF(EK$4&lt;&gt;1,"",COUNTIF(EK9:EK13,"อ"))</f>
        <v/>
      </c>
      <c r="EL14" s="581">
        <f>IF(EL$4&lt;&gt;1,"",COUNTIF(EL9:EL13,"อ"))</f>
        <v/>
      </c>
      <c r="EM14" s="581">
        <f>IF(EM$4&lt;&gt;1,"",COUNTIF(EM9:EM13,"อ"))</f>
        <v/>
      </c>
      <c r="EN14" s="581">
        <f>IF(EN$4&lt;&gt;1,"",COUNTIF(EN9:EN13,"อ"))</f>
        <v/>
      </c>
      <c r="EO14" s="581">
        <f>IF(EO$4&lt;&gt;1,"",COUNTIF(EO9:EO13,"อ"))</f>
        <v/>
      </c>
      <c r="EP14" s="581">
        <f>IF(EP$4&lt;&gt;1,"",COUNTIF(EP9:EP13,"อ"))</f>
        <v/>
      </c>
      <c r="EQ14" s="581">
        <f>IF(EQ$4&lt;&gt;1,"",COUNTIF(EQ9:EQ13,"อ"))</f>
        <v/>
      </c>
      <c r="ER14" s="581">
        <f>IF(ER$4&lt;&gt;1,"",COUNTIF(ER9:ER13,"อ"))</f>
        <v/>
      </c>
      <c r="ES14" s="581">
        <f>IF(ES$4&lt;&gt;1,"",COUNTIF(ES9:ES13,"อ"))</f>
        <v/>
      </c>
      <c r="ET14" s="581">
        <f>IF(ET$4&lt;&gt;1,"",COUNTIF(ET9:ET13,"อ"))</f>
        <v/>
      </c>
      <c r="EU14" s="581">
        <f>IF(EU$4&lt;&gt;1,"",COUNTIF(EU9:EU13,"อ"))</f>
        <v/>
      </c>
      <c r="EV14" s="581">
        <f>IF(EV$4&lt;&gt;1,"",COUNTIF(EV9:EV13,"อ"))</f>
        <v/>
      </c>
      <c r="EW14" s="581">
        <f>IF(EW$4&lt;&gt;1,"",COUNTIF(EW9:EW13,"อ"))</f>
        <v/>
      </c>
      <c r="EX14" s="581">
        <f>IF(EX$4&lt;&gt;1,"",COUNTIF(EX9:EX13,"อ"))</f>
        <v/>
      </c>
      <c r="EY14" s="581">
        <f>IF(EY$4&lt;&gt;1,"",COUNTIF(EY9:EY13,"อ"))</f>
        <v/>
      </c>
      <c r="EZ14" s="581">
        <f>IF(EZ$4&lt;&gt;1,"",COUNTIF(EZ9:EZ13,"อ"))</f>
        <v/>
      </c>
      <c r="FA14" s="581">
        <f>IF(FA$4&lt;&gt;1,"",COUNTIF(FA9:FA13,"อ"))</f>
        <v/>
      </c>
      <c r="FB14" s="581">
        <f>IF(FB$4&lt;&gt;1,"",COUNTIF(FB9:FB13,"อ"))</f>
        <v/>
      </c>
      <c r="FC14" s="581">
        <f>IF(FC$4&lt;&gt;1,"",COUNTIF(FC9:FC13,"อ"))</f>
        <v/>
      </c>
      <c r="FD14" s="581">
        <f>IF(FD$4&lt;&gt;1,"",COUNTIF(FD9:FD13,"อ"))</f>
        <v/>
      </c>
      <c r="FE14" s="581">
        <f>IF(FE$4&lt;&gt;1,"",COUNTIF(FE9:FE13,"อ"))</f>
        <v/>
      </c>
      <c r="FF14" s="581">
        <f>IF(FF$4&lt;&gt;1,"",COUNTIF(FF9:FF13,"อ"))</f>
        <v/>
      </c>
      <c r="FG14" s="581">
        <f>IF(FG$4&lt;&gt;1,"",COUNTIF(FG9:FG13,"อ"))</f>
        <v/>
      </c>
      <c r="FH14" s="581">
        <f>IF(FH$4&lt;&gt;1,"",COUNTIF(FH9:FH13,"อ"))</f>
        <v/>
      </c>
      <c r="FI14" s="581">
        <f>IF(FI$4&lt;&gt;1,"",COUNTIF(FI9:FI13,"อ"))</f>
        <v/>
      </c>
      <c r="FJ14" s="581">
        <f>IF(FJ$4&lt;&gt;1,"",COUNTIF(FJ9:FJ13,"อ"))</f>
        <v/>
      </c>
      <c r="FK14" s="581">
        <f>IF(FK$4&lt;&gt;1,"",COUNTIF(FK9:FK13,"อ"))</f>
        <v/>
      </c>
      <c r="FL14" s="581">
        <f>IF(FL$4&lt;&gt;1,"",COUNTIF(FL9:FL13,"อ"))</f>
        <v/>
      </c>
      <c r="FM14" s="581">
        <f>IF(FM$4&lt;&gt;1,"",COUNTIF(FM9:FM13,"อ"))</f>
        <v/>
      </c>
      <c r="FN14" s="581">
        <f>IF(FN$4&lt;&gt;1,"",COUNTIF(FN9:FN13,"อ"))</f>
        <v/>
      </c>
      <c r="FO14" s="582">
        <f>SUM(FO9:FO13)</f>
        <v/>
      </c>
      <c r="FP14" s="583">
        <f>SUM(FP9:FP13)</f>
        <v/>
      </c>
      <c r="FQ14" s="584">
        <f>SUM(FQ9:FQ13)</f>
        <v/>
      </c>
    </row>
    <row r="15">
      <c r="A15" s="579" t="inlineStr">
        <is>
          <t>ช่วยเหลือ / ผ้าอ้อม (คน)</t>
        </is>
      </c>
      <c r="B15" s="184" t="n"/>
      <c r="C15" s="184" t="n"/>
      <c r="D15" s="580">
        <f>IF(D$4&lt;&gt;1,"",COUNTIF(D9:D13,"ช")+COUNTIF(D9:D13,"ผ"))</f>
        <v/>
      </c>
      <c r="E15" s="581">
        <f>IF(E$4&lt;&gt;1,"",COUNTIF(E9:E13,"ช")+COUNTIF(E9:E13,"ผ"))</f>
        <v/>
      </c>
      <c r="F15" s="581">
        <f>IF(F$4&lt;&gt;1,"",COUNTIF(F9:F13,"ช")+COUNTIF(F9:F13,"ผ"))</f>
        <v/>
      </c>
      <c r="G15" s="581">
        <f>IF(G$4&lt;&gt;1,"",COUNTIF(G9:G13,"ช")+COUNTIF(G9:G13,"ผ"))</f>
        <v/>
      </c>
      <c r="H15" s="581">
        <f>IF(H$4&lt;&gt;1,"",COUNTIF(H9:H13,"ช")+COUNTIF(H9:H13,"ผ"))</f>
        <v/>
      </c>
      <c r="I15" s="581">
        <f>IF(I$4&lt;&gt;1,"",COUNTIF(I9:I13,"ช")+COUNTIF(I9:I13,"ผ"))</f>
        <v/>
      </c>
      <c r="J15" s="581">
        <f>IF(J$4&lt;&gt;1,"",COUNTIF(J9:J13,"ช")+COUNTIF(J9:J13,"ผ"))</f>
        <v/>
      </c>
      <c r="K15" s="581">
        <f>IF(K$4&lt;&gt;1,"",COUNTIF(K9:K13,"ช")+COUNTIF(K9:K13,"ผ"))</f>
        <v/>
      </c>
      <c r="L15" s="581">
        <f>IF(L$4&lt;&gt;1,"",COUNTIF(L9:L13,"ช")+COUNTIF(L9:L13,"ผ"))</f>
        <v/>
      </c>
      <c r="M15" s="581">
        <f>IF(M$4&lt;&gt;1,"",COUNTIF(M9:M13,"ช")+COUNTIF(M9:M13,"ผ"))</f>
        <v/>
      </c>
      <c r="N15" s="581">
        <f>IF(N$4&lt;&gt;1,"",COUNTIF(N9:N13,"ช")+COUNTIF(N9:N13,"ผ"))</f>
        <v/>
      </c>
      <c r="O15" s="581">
        <f>IF(O$4&lt;&gt;1,"",COUNTIF(O9:O13,"ช")+COUNTIF(O9:O13,"ผ"))</f>
        <v/>
      </c>
      <c r="P15" s="581">
        <f>IF(P$4&lt;&gt;1,"",COUNTIF(P9:P13,"ช")+COUNTIF(P9:P13,"ผ"))</f>
        <v/>
      </c>
      <c r="Q15" s="581">
        <f>IF(Q$4&lt;&gt;1,"",COUNTIF(Q9:Q13,"ช")+COUNTIF(Q9:Q13,"ผ"))</f>
        <v/>
      </c>
      <c r="R15" s="581">
        <f>IF(R$4&lt;&gt;1,"",COUNTIF(R9:R13,"ช")+COUNTIF(R9:R13,"ผ"))</f>
        <v/>
      </c>
      <c r="S15" s="581">
        <f>IF(S$4&lt;&gt;1,"",COUNTIF(S9:S13,"ช")+COUNTIF(S9:S13,"ผ"))</f>
        <v/>
      </c>
      <c r="T15" s="581">
        <f>IF(T$4&lt;&gt;1,"",COUNTIF(T9:T13,"ช")+COUNTIF(T9:T13,"ผ"))</f>
        <v/>
      </c>
      <c r="U15" s="581">
        <f>IF(U$4&lt;&gt;1,"",COUNTIF(U9:U13,"ช")+COUNTIF(U9:U13,"ผ"))</f>
        <v/>
      </c>
      <c r="V15" s="581">
        <f>IF(V$4&lt;&gt;1,"",COUNTIF(V9:V13,"ช")+COUNTIF(V9:V13,"ผ"))</f>
        <v/>
      </c>
      <c r="W15" s="581">
        <f>IF(W$4&lt;&gt;1,"",COUNTIF(W9:W13,"ช")+COUNTIF(W9:W13,"ผ"))</f>
        <v/>
      </c>
      <c r="X15" s="581">
        <f>IF(X$4&lt;&gt;1,"",COUNTIF(X9:X13,"ช")+COUNTIF(X9:X13,"ผ"))</f>
        <v/>
      </c>
      <c r="Y15" s="581">
        <f>IF(Y$4&lt;&gt;1,"",COUNTIF(Y9:Y13,"ช")+COUNTIF(Y9:Y13,"ผ"))</f>
        <v/>
      </c>
      <c r="Z15" s="581">
        <f>IF(Z$4&lt;&gt;1,"",COUNTIF(Z9:Z13,"ช")+COUNTIF(Z9:Z13,"ผ"))</f>
        <v/>
      </c>
      <c r="AA15" s="581">
        <f>IF(AA$4&lt;&gt;1,"",COUNTIF(AA9:AA13,"ช")+COUNTIF(AA9:AA13,"ผ"))</f>
        <v/>
      </c>
      <c r="AB15" s="581">
        <f>IF(AB$4&lt;&gt;1,"",COUNTIF(AB9:AB13,"ช")+COUNTIF(AB9:AB13,"ผ"))</f>
        <v/>
      </c>
      <c r="AC15" s="581">
        <f>IF(AC$4&lt;&gt;1,"",COUNTIF(AC9:AC13,"ช")+COUNTIF(AC9:AC13,"ผ"))</f>
        <v/>
      </c>
      <c r="AD15" s="581">
        <f>IF(AD$4&lt;&gt;1,"",COUNTIF(AD9:AD13,"ช")+COUNTIF(AD9:AD13,"ผ"))</f>
        <v/>
      </c>
      <c r="AE15" s="581">
        <f>IF(AE$4&lt;&gt;1,"",COUNTIF(AE9:AE13,"ช")+COUNTIF(AE9:AE13,"ผ"))</f>
        <v/>
      </c>
      <c r="AF15" s="581">
        <f>IF(AF$4&lt;&gt;1,"",COUNTIF(AF9:AF13,"ช")+COUNTIF(AF9:AF13,"ผ"))</f>
        <v/>
      </c>
      <c r="AG15" s="581">
        <f>IF(AG$4&lt;&gt;1,"",COUNTIF(AG9:AG13,"ช")+COUNTIF(AG9:AG13,"ผ"))</f>
        <v/>
      </c>
      <c r="AH15" s="581">
        <f>IF(AH$4&lt;&gt;1,"",COUNTIF(AH9:AH13,"ช")+COUNTIF(AH9:AH13,"ผ"))</f>
        <v/>
      </c>
      <c r="AI15" s="582" t="n"/>
      <c r="AJ15" s="583" t="n"/>
      <c r="AK15" s="584" t="n"/>
      <c r="AL15" s="580">
        <f>IF(AL$4&lt;&gt;1,"",COUNTIF(AL9:AL13,"ช")+COUNTIF(AL9:AL13,"ผ"))</f>
        <v/>
      </c>
      <c r="AM15" s="581">
        <f>IF(AM$4&lt;&gt;1,"",COUNTIF(AM9:AM13,"ช")+COUNTIF(AM9:AM13,"ผ"))</f>
        <v/>
      </c>
      <c r="AN15" s="581">
        <f>IF(AN$4&lt;&gt;1,"",COUNTIF(AN9:AN13,"ช")+COUNTIF(AN9:AN13,"ผ"))</f>
        <v/>
      </c>
      <c r="AO15" s="581">
        <f>IF(AO$4&lt;&gt;1,"",COUNTIF(AO9:AO13,"ช")+COUNTIF(AO9:AO13,"ผ"))</f>
        <v/>
      </c>
      <c r="AP15" s="581">
        <f>IF(AP$4&lt;&gt;1,"",COUNTIF(AP9:AP13,"ช")+COUNTIF(AP9:AP13,"ผ"))</f>
        <v/>
      </c>
      <c r="AQ15" s="581">
        <f>IF(AQ$4&lt;&gt;1,"",COUNTIF(AQ9:AQ13,"ช")+COUNTIF(AQ9:AQ13,"ผ"))</f>
        <v/>
      </c>
      <c r="AR15" s="581">
        <f>IF(AR$4&lt;&gt;1,"",COUNTIF(AR9:AR13,"ช")+COUNTIF(AR9:AR13,"ผ"))</f>
        <v/>
      </c>
      <c r="AS15" s="581">
        <f>IF(AS$4&lt;&gt;1,"",COUNTIF(AS9:AS13,"ช")+COUNTIF(AS9:AS13,"ผ"))</f>
        <v/>
      </c>
      <c r="AT15" s="581">
        <f>IF(AT$4&lt;&gt;1,"",COUNTIF(AT9:AT13,"ช")+COUNTIF(AT9:AT13,"ผ"))</f>
        <v/>
      </c>
      <c r="AU15" s="581">
        <f>IF(AU$4&lt;&gt;1,"",COUNTIF(AU9:AU13,"ช")+COUNTIF(AU9:AU13,"ผ"))</f>
        <v/>
      </c>
      <c r="AV15" s="581">
        <f>IF(AV$4&lt;&gt;1,"",COUNTIF(AV9:AV13,"ช")+COUNTIF(AV9:AV13,"ผ"))</f>
        <v/>
      </c>
      <c r="AW15" s="581">
        <f>IF(AW$4&lt;&gt;1,"",COUNTIF(AW9:AW13,"ช")+COUNTIF(AW9:AW13,"ผ"))</f>
        <v/>
      </c>
      <c r="AX15" s="581">
        <f>IF(AX$4&lt;&gt;1,"",COUNTIF(AX9:AX13,"ช")+COUNTIF(AX9:AX13,"ผ"))</f>
        <v/>
      </c>
      <c r="AY15" s="581">
        <f>IF(AY$4&lt;&gt;1,"",COUNTIF(AY9:AY13,"ช")+COUNTIF(AY9:AY13,"ผ"))</f>
        <v/>
      </c>
      <c r="AZ15" s="581">
        <f>IF(AZ$4&lt;&gt;1,"",COUNTIF(AZ9:AZ13,"ช")+COUNTIF(AZ9:AZ13,"ผ"))</f>
        <v/>
      </c>
      <c r="BA15" s="581">
        <f>IF(BA$4&lt;&gt;1,"",COUNTIF(BA9:BA13,"ช")+COUNTIF(BA9:BA13,"ผ"))</f>
        <v/>
      </c>
      <c r="BB15" s="581">
        <f>IF(BB$4&lt;&gt;1,"",COUNTIF(BB9:BB13,"ช")+COUNTIF(BB9:BB13,"ผ"))</f>
        <v/>
      </c>
      <c r="BC15" s="581">
        <f>IF(BC$4&lt;&gt;1,"",COUNTIF(BC9:BC13,"ช")+COUNTIF(BC9:BC13,"ผ"))</f>
        <v/>
      </c>
      <c r="BD15" s="581">
        <f>IF(BD$4&lt;&gt;1,"",COUNTIF(BD9:BD13,"ช")+COUNTIF(BD9:BD13,"ผ"))</f>
        <v/>
      </c>
      <c r="BE15" s="581">
        <f>IF(BE$4&lt;&gt;1,"",COUNTIF(BE9:BE13,"ช")+COUNTIF(BE9:BE13,"ผ"))</f>
        <v/>
      </c>
      <c r="BF15" s="581">
        <f>IF(BF$4&lt;&gt;1,"",COUNTIF(BF9:BF13,"ช")+COUNTIF(BF9:BF13,"ผ"))</f>
        <v/>
      </c>
      <c r="BG15" s="581">
        <f>IF(BG$4&lt;&gt;1,"",COUNTIF(BG9:BG13,"ช")+COUNTIF(BG9:BG13,"ผ"))</f>
        <v/>
      </c>
      <c r="BH15" s="581">
        <f>IF(BH$4&lt;&gt;1,"",COUNTIF(BH9:BH13,"ช")+COUNTIF(BH9:BH13,"ผ"))</f>
        <v/>
      </c>
      <c r="BI15" s="581">
        <f>IF(BI$4&lt;&gt;1,"",COUNTIF(BI9:BI13,"ช")+COUNTIF(BI9:BI13,"ผ"))</f>
        <v/>
      </c>
      <c r="BJ15" s="581">
        <f>IF(BJ$4&lt;&gt;1,"",COUNTIF(BJ9:BJ13,"ช")+COUNTIF(BJ9:BJ13,"ผ"))</f>
        <v/>
      </c>
      <c r="BK15" s="581">
        <f>IF(BK$4&lt;&gt;1,"",COUNTIF(BK9:BK13,"ช")+COUNTIF(BK9:BK13,"ผ"))</f>
        <v/>
      </c>
      <c r="BL15" s="581">
        <f>IF(BL$4&lt;&gt;1,"",COUNTIF(BL9:BL13,"ช")+COUNTIF(BL9:BL13,"ผ"))</f>
        <v/>
      </c>
      <c r="BM15" s="581">
        <f>IF(BM$4&lt;&gt;1,"",COUNTIF(BM9:BM13,"ช")+COUNTIF(BM9:BM13,"ผ"))</f>
        <v/>
      </c>
      <c r="BN15" s="581">
        <f>IF(BN$4&lt;&gt;1,"",COUNTIF(BN9:BN13,"ช")+COUNTIF(BN9:BN13,"ผ"))</f>
        <v/>
      </c>
      <c r="BO15" s="581">
        <f>IF(BO$4&lt;&gt;1,"",COUNTIF(BO9:BO13,"ช")+COUNTIF(BO9:BO13,"ผ"))</f>
        <v/>
      </c>
      <c r="BP15" s="581">
        <f>IF(BP$4&lt;&gt;1,"",COUNTIF(BP9:BP13,"ช")+COUNTIF(BP9:BP13,"ผ"))</f>
        <v/>
      </c>
      <c r="BQ15" s="582" t="n"/>
      <c r="BR15" s="583" t="n"/>
      <c r="BS15" s="584" t="n"/>
      <c r="BT15" s="580">
        <f>IF(BT$4&lt;&gt;1,"",COUNTIF(BT9:BT13,"ช")+COUNTIF(BT9:BT13,"ผ"))</f>
        <v/>
      </c>
      <c r="BU15" s="581">
        <f>IF(BU$4&lt;&gt;1,"",COUNTIF(BU9:BU13,"ช")+COUNTIF(BU9:BU13,"ผ"))</f>
        <v/>
      </c>
      <c r="BV15" s="581">
        <f>IF(BV$4&lt;&gt;1,"",COUNTIF(BV9:BV13,"ช")+COUNTIF(BV9:BV13,"ผ"))</f>
        <v/>
      </c>
      <c r="BW15" s="581">
        <f>IF(BW$4&lt;&gt;1,"",COUNTIF(BW9:BW13,"ช")+COUNTIF(BW9:BW13,"ผ"))</f>
        <v/>
      </c>
      <c r="BX15" s="581">
        <f>IF(BX$4&lt;&gt;1,"",COUNTIF(BX9:BX13,"ช")+COUNTIF(BX9:BX13,"ผ"))</f>
        <v/>
      </c>
      <c r="BY15" s="581">
        <f>IF(BY$4&lt;&gt;1,"",COUNTIF(BY9:BY13,"ช")+COUNTIF(BY9:BY13,"ผ"))</f>
        <v/>
      </c>
      <c r="BZ15" s="581">
        <f>IF(BZ$4&lt;&gt;1,"",COUNTIF(BZ9:BZ13,"ช")+COUNTIF(BZ9:BZ13,"ผ"))</f>
        <v/>
      </c>
      <c r="CA15" s="581">
        <f>IF(CA$4&lt;&gt;1,"",COUNTIF(CA9:CA13,"ช")+COUNTIF(CA9:CA13,"ผ"))</f>
        <v/>
      </c>
      <c r="CB15" s="581">
        <f>IF(CB$4&lt;&gt;1,"",COUNTIF(CB9:CB13,"ช")+COUNTIF(CB9:CB13,"ผ"))</f>
        <v/>
      </c>
      <c r="CC15" s="581">
        <f>IF(CC$4&lt;&gt;1,"",COUNTIF(CC9:CC13,"ช")+COUNTIF(CC9:CC13,"ผ"))</f>
        <v/>
      </c>
      <c r="CD15" s="581">
        <f>IF(CD$4&lt;&gt;1,"",COUNTIF(CD9:CD13,"ช")+COUNTIF(CD9:CD13,"ผ"))</f>
        <v/>
      </c>
      <c r="CE15" s="581">
        <f>IF(CE$4&lt;&gt;1,"",COUNTIF(CE9:CE13,"ช")+COUNTIF(CE9:CE13,"ผ"))</f>
        <v/>
      </c>
      <c r="CF15" s="581">
        <f>IF(CF$4&lt;&gt;1,"",COUNTIF(CF9:CF13,"ช")+COUNTIF(CF9:CF13,"ผ"))</f>
        <v/>
      </c>
      <c r="CG15" s="581">
        <f>IF(CG$4&lt;&gt;1,"",COUNTIF(CG9:CG13,"ช")+COUNTIF(CG9:CG13,"ผ"))</f>
        <v/>
      </c>
      <c r="CH15" s="581">
        <f>IF(CH$4&lt;&gt;1,"",COUNTIF(CH9:CH13,"ช")+COUNTIF(CH9:CH13,"ผ"))</f>
        <v/>
      </c>
      <c r="CI15" s="581">
        <f>IF(CI$4&lt;&gt;1,"",COUNTIF(CI9:CI13,"ช")+COUNTIF(CI9:CI13,"ผ"))</f>
        <v/>
      </c>
      <c r="CJ15" s="581">
        <f>IF(CJ$4&lt;&gt;1,"",COUNTIF(CJ9:CJ13,"ช")+COUNTIF(CJ9:CJ13,"ผ"))</f>
        <v/>
      </c>
      <c r="CK15" s="581">
        <f>IF(CK$4&lt;&gt;1,"",COUNTIF(CK9:CK13,"ช")+COUNTIF(CK9:CK13,"ผ"))</f>
        <v/>
      </c>
      <c r="CL15" s="581">
        <f>IF(CL$4&lt;&gt;1,"",COUNTIF(CL9:CL13,"ช")+COUNTIF(CL9:CL13,"ผ"))</f>
        <v/>
      </c>
      <c r="CM15" s="581">
        <f>IF(CM$4&lt;&gt;1,"",COUNTIF(CM9:CM13,"ช")+COUNTIF(CM9:CM13,"ผ"))</f>
        <v/>
      </c>
      <c r="CN15" s="581">
        <f>IF(CN$4&lt;&gt;1,"",COUNTIF(CN9:CN13,"ช")+COUNTIF(CN9:CN13,"ผ"))</f>
        <v/>
      </c>
      <c r="CO15" s="581">
        <f>IF(CO$4&lt;&gt;1,"",COUNTIF(CO9:CO13,"ช")+COUNTIF(CO9:CO13,"ผ"))</f>
        <v/>
      </c>
      <c r="CP15" s="581">
        <f>IF(CP$4&lt;&gt;1,"",COUNTIF(CP9:CP13,"ช")+COUNTIF(CP9:CP13,"ผ"))</f>
        <v/>
      </c>
      <c r="CQ15" s="581">
        <f>IF(CQ$4&lt;&gt;1,"",COUNTIF(CQ9:CQ13,"ช")+COUNTIF(CQ9:CQ13,"ผ"))</f>
        <v/>
      </c>
      <c r="CR15" s="581">
        <f>IF(CR$4&lt;&gt;1,"",COUNTIF(CR9:CR13,"ช")+COUNTIF(CR9:CR13,"ผ"))</f>
        <v/>
      </c>
      <c r="CS15" s="581">
        <f>IF(CS$4&lt;&gt;1,"",COUNTIF(CS9:CS13,"ช")+COUNTIF(CS9:CS13,"ผ"))</f>
        <v/>
      </c>
      <c r="CT15" s="581">
        <f>IF(CT$4&lt;&gt;1,"",COUNTIF(CT9:CT13,"ช")+COUNTIF(CT9:CT13,"ผ"))</f>
        <v/>
      </c>
      <c r="CU15" s="581">
        <f>IF(CU$4&lt;&gt;1,"",COUNTIF(CU9:CU13,"ช")+COUNTIF(CU9:CU13,"ผ"))</f>
        <v/>
      </c>
      <c r="CV15" s="581">
        <f>IF(CV$4&lt;&gt;1,"",COUNTIF(CV9:CV13,"ช")+COUNTIF(CV9:CV13,"ผ"))</f>
        <v/>
      </c>
      <c r="CW15" s="581">
        <f>IF(CW$4&lt;&gt;1,"",COUNTIF(CW9:CW13,"ช")+COUNTIF(CW9:CW13,"ผ"))</f>
        <v/>
      </c>
      <c r="CX15" s="581">
        <f>IF(CX$4&lt;&gt;1,"",COUNTIF(CX9:CX13,"ช")+COUNTIF(CX9:CX13,"ผ"))</f>
        <v/>
      </c>
      <c r="CY15" s="582" t="n"/>
      <c r="CZ15" s="583" t="n"/>
      <c r="DA15" s="584" t="n"/>
      <c r="DB15" s="580">
        <f>IF(DB$4&lt;&gt;1,"",COUNTIF(DB9:DB13,"ช")+COUNTIF(DB9:DB13,"ผ"))</f>
        <v/>
      </c>
      <c r="DC15" s="581">
        <f>IF(DC$4&lt;&gt;1,"",COUNTIF(DC9:DC13,"ช")+COUNTIF(DC9:DC13,"ผ"))</f>
        <v/>
      </c>
      <c r="DD15" s="581">
        <f>IF(DD$4&lt;&gt;1,"",COUNTIF(DD9:DD13,"ช")+COUNTIF(DD9:DD13,"ผ"))</f>
        <v/>
      </c>
      <c r="DE15" s="581">
        <f>IF(DE$4&lt;&gt;1,"",COUNTIF(DE9:DE13,"ช")+COUNTIF(DE9:DE13,"ผ"))</f>
        <v/>
      </c>
      <c r="DF15" s="581">
        <f>IF(DF$4&lt;&gt;1,"",COUNTIF(DF9:DF13,"ช")+COUNTIF(DF9:DF13,"ผ"))</f>
        <v/>
      </c>
      <c r="DG15" s="581">
        <f>IF(DG$4&lt;&gt;1,"",COUNTIF(DG9:DG13,"ช")+COUNTIF(DG9:DG13,"ผ"))</f>
        <v/>
      </c>
      <c r="DH15" s="581">
        <f>IF(DH$4&lt;&gt;1,"",COUNTIF(DH9:DH13,"ช")+COUNTIF(DH9:DH13,"ผ"))</f>
        <v/>
      </c>
      <c r="DI15" s="581">
        <f>IF(DI$4&lt;&gt;1,"",COUNTIF(DI9:DI13,"ช")+COUNTIF(DI9:DI13,"ผ"))</f>
        <v/>
      </c>
      <c r="DJ15" s="581">
        <f>IF(DJ$4&lt;&gt;1,"",COUNTIF(DJ9:DJ13,"ช")+COUNTIF(DJ9:DJ13,"ผ"))</f>
        <v/>
      </c>
      <c r="DK15" s="581">
        <f>IF(DK$4&lt;&gt;1,"",COUNTIF(DK9:DK13,"ช")+COUNTIF(DK9:DK13,"ผ"))</f>
        <v/>
      </c>
      <c r="DL15" s="581">
        <f>IF(DL$4&lt;&gt;1,"",COUNTIF(DL9:DL13,"ช")+COUNTIF(DL9:DL13,"ผ"))</f>
        <v/>
      </c>
      <c r="DM15" s="581">
        <f>IF(DM$4&lt;&gt;1,"",COUNTIF(DM9:DM13,"ช")+COUNTIF(DM9:DM13,"ผ"))</f>
        <v/>
      </c>
      <c r="DN15" s="581">
        <f>IF(DN$4&lt;&gt;1,"",COUNTIF(DN9:DN13,"ช")+COUNTIF(DN9:DN13,"ผ"))</f>
        <v/>
      </c>
      <c r="DO15" s="581">
        <f>IF(DO$4&lt;&gt;1,"",COUNTIF(DO9:DO13,"ช")+COUNTIF(DO9:DO13,"ผ"))</f>
        <v/>
      </c>
      <c r="DP15" s="581">
        <f>IF(DP$4&lt;&gt;1,"",COUNTIF(DP9:DP13,"ช")+COUNTIF(DP9:DP13,"ผ"))</f>
        <v/>
      </c>
      <c r="DQ15" s="581">
        <f>IF(DQ$4&lt;&gt;1,"",COUNTIF(DQ9:DQ13,"ช")+COUNTIF(DQ9:DQ13,"ผ"))</f>
        <v/>
      </c>
      <c r="DR15" s="581">
        <f>IF(DR$4&lt;&gt;1,"",COUNTIF(DR9:DR13,"ช")+COUNTIF(DR9:DR13,"ผ"))</f>
        <v/>
      </c>
      <c r="DS15" s="581">
        <f>IF(DS$4&lt;&gt;1,"",COUNTIF(DS9:DS13,"ช")+COUNTIF(DS9:DS13,"ผ"))</f>
        <v/>
      </c>
      <c r="DT15" s="581">
        <f>IF(DT$4&lt;&gt;1,"",COUNTIF(DT9:DT13,"ช")+COUNTIF(DT9:DT13,"ผ"))</f>
        <v/>
      </c>
      <c r="DU15" s="581">
        <f>IF(DU$4&lt;&gt;1,"",COUNTIF(DU9:DU13,"ช")+COUNTIF(DU9:DU13,"ผ"))</f>
        <v/>
      </c>
      <c r="DV15" s="581">
        <f>IF(DV$4&lt;&gt;1,"",COUNTIF(DV9:DV13,"ช")+COUNTIF(DV9:DV13,"ผ"))</f>
        <v/>
      </c>
      <c r="DW15" s="581">
        <f>IF(DW$4&lt;&gt;1,"",COUNTIF(DW9:DW13,"ช")+COUNTIF(DW9:DW13,"ผ"))</f>
        <v/>
      </c>
      <c r="DX15" s="581">
        <f>IF(DX$4&lt;&gt;1,"",COUNTIF(DX9:DX13,"ช")+COUNTIF(DX9:DX13,"ผ"))</f>
        <v/>
      </c>
      <c r="DY15" s="581">
        <f>IF(DY$4&lt;&gt;1,"",COUNTIF(DY9:DY13,"ช")+COUNTIF(DY9:DY13,"ผ"))</f>
        <v/>
      </c>
      <c r="DZ15" s="581">
        <f>IF(DZ$4&lt;&gt;1,"",COUNTIF(DZ9:DZ13,"ช")+COUNTIF(DZ9:DZ13,"ผ"))</f>
        <v/>
      </c>
      <c r="EA15" s="581">
        <f>IF(EA$4&lt;&gt;1,"",COUNTIF(EA9:EA13,"ช")+COUNTIF(EA9:EA13,"ผ"))</f>
        <v/>
      </c>
      <c r="EB15" s="581">
        <f>IF(EB$4&lt;&gt;1,"",COUNTIF(EB9:EB13,"ช")+COUNTIF(EB9:EB13,"ผ"))</f>
        <v/>
      </c>
      <c r="EC15" s="581">
        <f>IF(EC$4&lt;&gt;1,"",COUNTIF(EC9:EC13,"ช")+COUNTIF(EC9:EC13,"ผ"))</f>
        <v/>
      </c>
      <c r="ED15" s="581">
        <f>IF(ED$4&lt;&gt;1,"",COUNTIF(ED9:ED13,"ช")+COUNTIF(ED9:ED13,"ผ"))</f>
        <v/>
      </c>
      <c r="EE15" s="581">
        <f>IF(EE$4&lt;&gt;1,"",COUNTIF(EE9:EE13,"ช")+COUNTIF(EE9:EE13,"ผ"))</f>
        <v/>
      </c>
      <c r="EF15" s="581">
        <f>IF(EF$4&lt;&gt;1,"",COUNTIF(EF9:EF13,"ช")+COUNTIF(EF9:EF13,"ผ"))</f>
        <v/>
      </c>
      <c r="EG15" s="582" t="n"/>
      <c r="EH15" s="583" t="n"/>
      <c r="EI15" s="584" t="n"/>
      <c r="EJ15" s="580">
        <f>IF(EJ$4&lt;&gt;1,"",COUNTIF(EJ9:EJ13,"ช")+COUNTIF(EJ9:EJ13,"ผ"))</f>
        <v/>
      </c>
      <c r="EK15" s="581">
        <f>IF(EK$4&lt;&gt;1,"",COUNTIF(EK9:EK13,"ช")+COUNTIF(EK9:EK13,"ผ"))</f>
        <v/>
      </c>
      <c r="EL15" s="581">
        <f>IF(EL$4&lt;&gt;1,"",COUNTIF(EL9:EL13,"ช")+COUNTIF(EL9:EL13,"ผ"))</f>
        <v/>
      </c>
      <c r="EM15" s="581">
        <f>IF(EM$4&lt;&gt;1,"",COUNTIF(EM9:EM13,"ช")+COUNTIF(EM9:EM13,"ผ"))</f>
        <v/>
      </c>
      <c r="EN15" s="581">
        <f>IF(EN$4&lt;&gt;1,"",COUNTIF(EN9:EN13,"ช")+COUNTIF(EN9:EN13,"ผ"))</f>
        <v/>
      </c>
      <c r="EO15" s="581">
        <f>IF(EO$4&lt;&gt;1,"",COUNTIF(EO9:EO13,"ช")+COUNTIF(EO9:EO13,"ผ"))</f>
        <v/>
      </c>
      <c r="EP15" s="581">
        <f>IF(EP$4&lt;&gt;1,"",COUNTIF(EP9:EP13,"ช")+COUNTIF(EP9:EP13,"ผ"))</f>
        <v/>
      </c>
      <c r="EQ15" s="581">
        <f>IF(EQ$4&lt;&gt;1,"",COUNTIF(EQ9:EQ13,"ช")+COUNTIF(EQ9:EQ13,"ผ"))</f>
        <v/>
      </c>
      <c r="ER15" s="581">
        <f>IF(ER$4&lt;&gt;1,"",COUNTIF(ER9:ER13,"ช")+COUNTIF(ER9:ER13,"ผ"))</f>
        <v/>
      </c>
      <c r="ES15" s="581">
        <f>IF(ES$4&lt;&gt;1,"",COUNTIF(ES9:ES13,"ช")+COUNTIF(ES9:ES13,"ผ"))</f>
        <v/>
      </c>
      <c r="ET15" s="581">
        <f>IF(ET$4&lt;&gt;1,"",COUNTIF(ET9:ET13,"ช")+COUNTIF(ET9:ET13,"ผ"))</f>
        <v/>
      </c>
      <c r="EU15" s="581">
        <f>IF(EU$4&lt;&gt;1,"",COUNTIF(EU9:EU13,"ช")+COUNTIF(EU9:EU13,"ผ"))</f>
        <v/>
      </c>
      <c r="EV15" s="581">
        <f>IF(EV$4&lt;&gt;1,"",COUNTIF(EV9:EV13,"ช")+COUNTIF(EV9:EV13,"ผ"))</f>
        <v/>
      </c>
      <c r="EW15" s="581">
        <f>IF(EW$4&lt;&gt;1,"",COUNTIF(EW9:EW13,"ช")+COUNTIF(EW9:EW13,"ผ"))</f>
        <v/>
      </c>
      <c r="EX15" s="581">
        <f>IF(EX$4&lt;&gt;1,"",COUNTIF(EX9:EX13,"ช")+COUNTIF(EX9:EX13,"ผ"))</f>
        <v/>
      </c>
      <c r="EY15" s="581">
        <f>IF(EY$4&lt;&gt;1,"",COUNTIF(EY9:EY13,"ช")+COUNTIF(EY9:EY13,"ผ"))</f>
        <v/>
      </c>
      <c r="EZ15" s="581">
        <f>IF(EZ$4&lt;&gt;1,"",COUNTIF(EZ9:EZ13,"ช")+COUNTIF(EZ9:EZ13,"ผ"))</f>
        <v/>
      </c>
      <c r="FA15" s="581">
        <f>IF(FA$4&lt;&gt;1,"",COUNTIF(FA9:FA13,"ช")+COUNTIF(FA9:FA13,"ผ"))</f>
        <v/>
      </c>
      <c r="FB15" s="581">
        <f>IF(FB$4&lt;&gt;1,"",COUNTIF(FB9:FB13,"ช")+COUNTIF(FB9:FB13,"ผ"))</f>
        <v/>
      </c>
      <c r="FC15" s="581">
        <f>IF(FC$4&lt;&gt;1,"",COUNTIF(FC9:FC13,"ช")+COUNTIF(FC9:FC13,"ผ"))</f>
        <v/>
      </c>
      <c r="FD15" s="581">
        <f>IF(FD$4&lt;&gt;1,"",COUNTIF(FD9:FD13,"ช")+COUNTIF(FD9:FD13,"ผ"))</f>
        <v/>
      </c>
      <c r="FE15" s="581">
        <f>IF(FE$4&lt;&gt;1,"",COUNTIF(FE9:FE13,"ช")+COUNTIF(FE9:FE13,"ผ"))</f>
        <v/>
      </c>
      <c r="FF15" s="581">
        <f>IF(FF$4&lt;&gt;1,"",COUNTIF(FF9:FF13,"ช")+COUNTIF(FF9:FF13,"ผ"))</f>
        <v/>
      </c>
      <c r="FG15" s="581">
        <f>IF(FG$4&lt;&gt;1,"",COUNTIF(FG9:FG13,"ช")+COUNTIF(FG9:FG13,"ผ"))</f>
        <v/>
      </c>
      <c r="FH15" s="581">
        <f>IF(FH$4&lt;&gt;1,"",COUNTIF(FH9:FH13,"ช")+COUNTIF(FH9:FH13,"ผ"))</f>
        <v/>
      </c>
      <c r="FI15" s="581">
        <f>IF(FI$4&lt;&gt;1,"",COUNTIF(FI9:FI13,"ช")+COUNTIF(FI9:FI13,"ผ"))</f>
        <v/>
      </c>
      <c r="FJ15" s="581">
        <f>IF(FJ$4&lt;&gt;1,"",COUNTIF(FJ9:FJ13,"ช")+COUNTIF(FJ9:FJ13,"ผ"))</f>
        <v/>
      </c>
      <c r="FK15" s="581">
        <f>IF(FK$4&lt;&gt;1,"",COUNTIF(FK9:FK13,"ช")+COUNTIF(FK9:FK13,"ผ"))</f>
        <v/>
      </c>
      <c r="FL15" s="581">
        <f>IF(FL$4&lt;&gt;1,"",COUNTIF(FL9:FL13,"ช")+COUNTIF(FL9:FL13,"ผ"))</f>
        <v/>
      </c>
      <c r="FM15" s="581">
        <f>IF(FM$4&lt;&gt;1,"",COUNTIF(FM9:FM13,"ช")+COUNTIF(FM9:FM13,"ผ"))</f>
        <v/>
      </c>
      <c r="FN15" s="581">
        <f>IF(FN$4&lt;&gt;1,"",COUNTIF(FN9:FN13,"ช")+COUNTIF(FN9:FN13,"ผ"))</f>
        <v/>
      </c>
      <c r="FO15" s="582" t="n"/>
      <c r="FP15" s="583" t="n"/>
      <c r="FQ15" s="584" t="n"/>
    </row>
    <row r="16">
      <c r="A16" s="579" t="inlineStr">
        <is>
          <t>ราด / เปียก (คน)</t>
        </is>
      </c>
      <c r="B16" s="184" t="n"/>
      <c r="C16" s="184" t="n"/>
      <c r="D16" s="580">
        <f>IF(D$4&lt;&gt;1,"",COUNTIF(D9:D13,"ร"))</f>
        <v/>
      </c>
      <c r="E16" s="581">
        <f>IF(E$4&lt;&gt;1,"",COUNTIF(E9:E13,"ร"))</f>
        <v/>
      </c>
      <c r="F16" s="581">
        <f>IF(F$4&lt;&gt;1,"",COUNTIF(F9:F13,"ร"))</f>
        <v/>
      </c>
      <c r="G16" s="581">
        <f>IF(G$4&lt;&gt;1,"",COUNTIF(G9:G13,"ร"))</f>
        <v/>
      </c>
      <c r="H16" s="581">
        <f>IF(H$4&lt;&gt;1,"",COUNTIF(H9:H13,"ร"))</f>
        <v/>
      </c>
      <c r="I16" s="581">
        <f>IF(I$4&lt;&gt;1,"",COUNTIF(I9:I13,"ร"))</f>
        <v/>
      </c>
      <c r="J16" s="581">
        <f>IF(J$4&lt;&gt;1,"",COUNTIF(J9:J13,"ร"))</f>
        <v/>
      </c>
      <c r="K16" s="581">
        <f>IF(K$4&lt;&gt;1,"",COUNTIF(K9:K13,"ร"))</f>
        <v/>
      </c>
      <c r="L16" s="581">
        <f>IF(L$4&lt;&gt;1,"",COUNTIF(L9:L13,"ร"))</f>
        <v/>
      </c>
      <c r="M16" s="581">
        <f>IF(M$4&lt;&gt;1,"",COUNTIF(M9:M13,"ร"))</f>
        <v/>
      </c>
      <c r="N16" s="581">
        <f>IF(N$4&lt;&gt;1,"",COUNTIF(N9:N13,"ร"))</f>
        <v/>
      </c>
      <c r="O16" s="581">
        <f>IF(O$4&lt;&gt;1,"",COUNTIF(O9:O13,"ร"))</f>
        <v/>
      </c>
      <c r="P16" s="581">
        <f>IF(P$4&lt;&gt;1,"",COUNTIF(P9:P13,"ร"))</f>
        <v/>
      </c>
      <c r="Q16" s="581">
        <f>IF(Q$4&lt;&gt;1,"",COUNTIF(Q9:Q13,"ร"))</f>
        <v/>
      </c>
      <c r="R16" s="581">
        <f>IF(R$4&lt;&gt;1,"",COUNTIF(R9:R13,"ร"))</f>
        <v/>
      </c>
      <c r="S16" s="581">
        <f>IF(S$4&lt;&gt;1,"",COUNTIF(S9:S13,"ร"))</f>
        <v/>
      </c>
      <c r="T16" s="581">
        <f>IF(T$4&lt;&gt;1,"",COUNTIF(T9:T13,"ร"))</f>
        <v/>
      </c>
      <c r="U16" s="581">
        <f>IF(U$4&lt;&gt;1,"",COUNTIF(U9:U13,"ร"))</f>
        <v/>
      </c>
      <c r="V16" s="581">
        <f>IF(V$4&lt;&gt;1,"",COUNTIF(V9:V13,"ร"))</f>
        <v/>
      </c>
      <c r="W16" s="581">
        <f>IF(W$4&lt;&gt;1,"",COUNTIF(W9:W13,"ร"))</f>
        <v/>
      </c>
      <c r="X16" s="581">
        <f>IF(X$4&lt;&gt;1,"",COUNTIF(X9:X13,"ร"))</f>
        <v/>
      </c>
      <c r="Y16" s="581">
        <f>IF(Y$4&lt;&gt;1,"",COUNTIF(Y9:Y13,"ร"))</f>
        <v/>
      </c>
      <c r="Z16" s="581">
        <f>IF(Z$4&lt;&gt;1,"",COUNTIF(Z9:Z13,"ร"))</f>
        <v/>
      </c>
      <c r="AA16" s="581">
        <f>IF(AA$4&lt;&gt;1,"",COUNTIF(AA9:AA13,"ร"))</f>
        <v/>
      </c>
      <c r="AB16" s="581">
        <f>IF(AB$4&lt;&gt;1,"",COUNTIF(AB9:AB13,"ร"))</f>
        <v/>
      </c>
      <c r="AC16" s="581">
        <f>IF(AC$4&lt;&gt;1,"",COUNTIF(AC9:AC13,"ร"))</f>
        <v/>
      </c>
      <c r="AD16" s="581">
        <f>IF(AD$4&lt;&gt;1,"",COUNTIF(AD9:AD13,"ร"))</f>
        <v/>
      </c>
      <c r="AE16" s="581">
        <f>IF(AE$4&lt;&gt;1,"",COUNTIF(AE9:AE13,"ร"))</f>
        <v/>
      </c>
      <c r="AF16" s="581">
        <f>IF(AF$4&lt;&gt;1,"",COUNTIF(AF9:AF13,"ร"))</f>
        <v/>
      </c>
      <c r="AG16" s="581">
        <f>IF(AG$4&lt;&gt;1,"",COUNTIF(AG9:AG13,"ร"))</f>
        <v/>
      </c>
      <c r="AH16" s="581">
        <f>IF(AH$4&lt;&gt;1,"",COUNTIF(AH9:AH13,"ร"))</f>
        <v/>
      </c>
      <c r="AI16" s="582" t="n"/>
      <c r="AJ16" s="583" t="n"/>
      <c r="AK16" s="584" t="n"/>
      <c r="AL16" s="580">
        <f>IF(AL$4&lt;&gt;1,"",COUNTIF(AL9:AL13,"ร"))</f>
        <v/>
      </c>
      <c r="AM16" s="581">
        <f>IF(AM$4&lt;&gt;1,"",COUNTIF(AM9:AM13,"ร"))</f>
        <v/>
      </c>
      <c r="AN16" s="581">
        <f>IF(AN$4&lt;&gt;1,"",COUNTIF(AN9:AN13,"ร"))</f>
        <v/>
      </c>
      <c r="AO16" s="581">
        <f>IF(AO$4&lt;&gt;1,"",COUNTIF(AO9:AO13,"ร"))</f>
        <v/>
      </c>
      <c r="AP16" s="581">
        <f>IF(AP$4&lt;&gt;1,"",COUNTIF(AP9:AP13,"ร"))</f>
        <v/>
      </c>
      <c r="AQ16" s="581">
        <f>IF(AQ$4&lt;&gt;1,"",COUNTIF(AQ9:AQ13,"ร"))</f>
        <v/>
      </c>
      <c r="AR16" s="581">
        <f>IF(AR$4&lt;&gt;1,"",COUNTIF(AR9:AR13,"ร"))</f>
        <v/>
      </c>
      <c r="AS16" s="581">
        <f>IF(AS$4&lt;&gt;1,"",COUNTIF(AS9:AS13,"ร"))</f>
        <v/>
      </c>
      <c r="AT16" s="581">
        <f>IF(AT$4&lt;&gt;1,"",COUNTIF(AT9:AT13,"ร"))</f>
        <v/>
      </c>
      <c r="AU16" s="581">
        <f>IF(AU$4&lt;&gt;1,"",COUNTIF(AU9:AU13,"ร"))</f>
        <v/>
      </c>
      <c r="AV16" s="581">
        <f>IF(AV$4&lt;&gt;1,"",COUNTIF(AV9:AV13,"ร"))</f>
        <v/>
      </c>
      <c r="AW16" s="581">
        <f>IF(AW$4&lt;&gt;1,"",COUNTIF(AW9:AW13,"ร"))</f>
        <v/>
      </c>
      <c r="AX16" s="581">
        <f>IF(AX$4&lt;&gt;1,"",COUNTIF(AX9:AX13,"ร"))</f>
        <v/>
      </c>
      <c r="AY16" s="581">
        <f>IF(AY$4&lt;&gt;1,"",COUNTIF(AY9:AY13,"ร"))</f>
        <v/>
      </c>
      <c r="AZ16" s="581">
        <f>IF(AZ$4&lt;&gt;1,"",COUNTIF(AZ9:AZ13,"ร"))</f>
        <v/>
      </c>
      <c r="BA16" s="581">
        <f>IF(BA$4&lt;&gt;1,"",COUNTIF(BA9:BA13,"ร"))</f>
        <v/>
      </c>
      <c r="BB16" s="581">
        <f>IF(BB$4&lt;&gt;1,"",COUNTIF(BB9:BB13,"ร"))</f>
        <v/>
      </c>
      <c r="BC16" s="581">
        <f>IF(BC$4&lt;&gt;1,"",COUNTIF(BC9:BC13,"ร"))</f>
        <v/>
      </c>
      <c r="BD16" s="581">
        <f>IF(BD$4&lt;&gt;1,"",COUNTIF(BD9:BD13,"ร"))</f>
        <v/>
      </c>
      <c r="BE16" s="581">
        <f>IF(BE$4&lt;&gt;1,"",COUNTIF(BE9:BE13,"ร"))</f>
        <v/>
      </c>
      <c r="BF16" s="581">
        <f>IF(BF$4&lt;&gt;1,"",COUNTIF(BF9:BF13,"ร"))</f>
        <v/>
      </c>
      <c r="BG16" s="581">
        <f>IF(BG$4&lt;&gt;1,"",COUNTIF(BG9:BG13,"ร"))</f>
        <v/>
      </c>
      <c r="BH16" s="581">
        <f>IF(BH$4&lt;&gt;1,"",COUNTIF(BH9:BH13,"ร"))</f>
        <v/>
      </c>
      <c r="BI16" s="581">
        <f>IF(BI$4&lt;&gt;1,"",COUNTIF(BI9:BI13,"ร"))</f>
        <v/>
      </c>
      <c r="BJ16" s="581">
        <f>IF(BJ$4&lt;&gt;1,"",COUNTIF(BJ9:BJ13,"ร"))</f>
        <v/>
      </c>
      <c r="BK16" s="581">
        <f>IF(BK$4&lt;&gt;1,"",COUNTIF(BK9:BK13,"ร"))</f>
        <v/>
      </c>
      <c r="BL16" s="581">
        <f>IF(BL$4&lt;&gt;1,"",COUNTIF(BL9:BL13,"ร"))</f>
        <v/>
      </c>
      <c r="BM16" s="581">
        <f>IF(BM$4&lt;&gt;1,"",COUNTIF(BM9:BM13,"ร"))</f>
        <v/>
      </c>
      <c r="BN16" s="581">
        <f>IF(BN$4&lt;&gt;1,"",COUNTIF(BN9:BN13,"ร"))</f>
        <v/>
      </c>
      <c r="BO16" s="581">
        <f>IF(BO$4&lt;&gt;1,"",COUNTIF(BO9:BO13,"ร"))</f>
        <v/>
      </c>
      <c r="BP16" s="581">
        <f>IF(BP$4&lt;&gt;1,"",COUNTIF(BP9:BP13,"ร"))</f>
        <v/>
      </c>
      <c r="BQ16" s="582" t="n"/>
      <c r="BR16" s="583" t="n"/>
      <c r="BS16" s="584" t="n"/>
      <c r="BT16" s="580">
        <f>IF(BT$4&lt;&gt;1,"",COUNTIF(BT9:BT13,"ร"))</f>
        <v/>
      </c>
      <c r="BU16" s="581">
        <f>IF(BU$4&lt;&gt;1,"",COUNTIF(BU9:BU13,"ร"))</f>
        <v/>
      </c>
      <c r="BV16" s="581">
        <f>IF(BV$4&lt;&gt;1,"",COUNTIF(BV9:BV13,"ร"))</f>
        <v/>
      </c>
      <c r="BW16" s="581">
        <f>IF(BW$4&lt;&gt;1,"",COUNTIF(BW9:BW13,"ร"))</f>
        <v/>
      </c>
      <c r="BX16" s="581">
        <f>IF(BX$4&lt;&gt;1,"",COUNTIF(BX9:BX13,"ร"))</f>
        <v/>
      </c>
      <c r="BY16" s="581">
        <f>IF(BY$4&lt;&gt;1,"",COUNTIF(BY9:BY13,"ร"))</f>
        <v/>
      </c>
      <c r="BZ16" s="581">
        <f>IF(BZ$4&lt;&gt;1,"",COUNTIF(BZ9:BZ13,"ร"))</f>
        <v/>
      </c>
      <c r="CA16" s="581">
        <f>IF(CA$4&lt;&gt;1,"",COUNTIF(CA9:CA13,"ร"))</f>
        <v/>
      </c>
      <c r="CB16" s="581">
        <f>IF(CB$4&lt;&gt;1,"",COUNTIF(CB9:CB13,"ร"))</f>
        <v/>
      </c>
      <c r="CC16" s="581">
        <f>IF(CC$4&lt;&gt;1,"",COUNTIF(CC9:CC13,"ร"))</f>
        <v/>
      </c>
      <c r="CD16" s="581">
        <f>IF(CD$4&lt;&gt;1,"",COUNTIF(CD9:CD13,"ร"))</f>
        <v/>
      </c>
      <c r="CE16" s="581">
        <f>IF(CE$4&lt;&gt;1,"",COUNTIF(CE9:CE13,"ร"))</f>
        <v/>
      </c>
      <c r="CF16" s="581">
        <f>IF(CF$4&lt;&gt;1,"",COUNTIF(CF9:CF13,"ร"))</f>
        <v/>
      </c>
      <c r="CG16" s="581">
        <f>IF(CG$4&lt;&gt;1,"",COUNTIF(CG9:CG13,"ร"))</f>
        <v/>
      </c>
      <c r="CH16" s="581">
        <f>IF(CH$4&lt;&gt;1,"",COUNTIF(CH9:CH13,"ร"))</f>
        <v/>
      </c>
      <c r="CI16" s="581">
        <f>IF(CI$4&lt;&gt;1,"",COUNTIF(CI9:CI13,"ร"))</f>
        <v/>
      </c>
      <c r="CJ16" s="581">
        <f>IF(CJ$4&lt;&gt;1,"",COUNTIF(CJ9:CJ13,"ร"))</f>
        <v/>
      </c>
      <c r="CK16" s="581">
        <f>IF(CK$4&lt;&gt;1,"",COUNTIF(CK9:CK13,"ร"))</f>
        <v/>
      </c>
      <c r="CL16" s="581">
        <f>IF(CL$4&lt;&gt;1,"",COUNTIF(CL9:CL13,"ร"))</f>
        <v/>
      </c>
      <c r="CM16" s="581">
        <f>IF(CM$4&lt;&gt;1,"",COUNTIF(CM9:CM13,"ร"))</f>
        <v/>
      </c>
      <c r="CN16" s="581">
        <f>IF(CN$4&lt;&gt;1,"",COUNTIF(CN9:CN13,"ร"))</f>
        <v/>
      </c>
      <c r="CO16" s="581">
        <f>IF(CO$4&lt;&gt;1,"",COUNTIF(CO9:CO13,"ร"))</f>
        <v/>
      </c>
      <c r="CP16" s="581">
        <f>IF(CP$4&lt;&gt;1,"",COUNTIF(CP9:CP13,"ร"))</f>
        <v/>
      </c>
      <c r="CQ16" s="581">
        <f>IF(CQ$4&lt;&gt;1,"",COUNTIF(CQ9:CQ13,"ร"))</f>
        <v/>
      </c>
      <c r="CR16" s="581">
        <f>IF(CR$4&lt;&gt;1,"",COUNTIF(CR9:CR13,"ร"))</f>
        <v/>
      </c>
      <c r="CS16" s="581">
        <f>IF(CS$4&lt;&gt;1,"",COUNTIF(CS9:CS13,"ร"))</f>
        <v/>
      </c>
      <c r="CT16" s="581">
        <f>IF(CT$4&lt;&gt;1,"",COUNTIF(CT9:CT13,"ร"))</f>
        <v/>
      </c>
      <c r="CU16" s="581">
        <f>IF(CU$4&lt;&gt;1,"",COUNTIF(CU9:CU13,"ร"))</f>
        <v/>
      </c>
      <c r="CV16" s="581">
        <f>IF(CV$4&lt;&gt;1,"",COUNTIF(CV9:CV13,"ร"))</f>
        <v/>
      </c>
      <c r="CW16" s="581">
        <f>IF(CW$4&lt;&gt;1,"",COUNTIF(CW9:CW13,"ร"))</f>
        <v/>
      </c>
      <c r="CX16" s="581">
        <f>IF(CX$4&lt;&gt;1,"",COUNTIF(CX9:CX13,"ร"))</f>
        <v/>
      </c>
      <c r="CY16" s="582" t="n"/>
      <c r="CZ16" s="583" t="n"/>
      <c r="DA16" s="584" t="n"/>
      <c r="DB16" s="580">
        <f>IF(DB$4&lt;&gt;1,"",COUNTIF(DB9:DB13,"ร"))</f>
        <v/>
      </c>
      <c r="DC16" s="581">
        <f>IF(DC$4&lt;&gt;1,"",COUNTIF(DC9:DC13,"ร"))</f>
        <v/>
      </c>
      <c r="DD16" s="581">
        <f>IF(DD$4&lt;&gt;1,"",COUNTIF(DD9:DD13,"ร"))</f>
        <v/>
      </c>
      <c r="DE16" s="581">
        <f>IF(DE$4&lt;&gt;1,"",COUNTIF(DE9:DE13,"ร"))</f>
        <v/>
      </c>
      <c r="DF16" s="581">
        <f>IF(DF$4&lt;&gt;1,"",COUNTIF(DF9:DF13,"ร"))</f>
        <v/>
      </c>
      <c r="DG16" s="581">
        <f>IF(DG$4&lt;&gt;1,"",COUNTIF(DG9:DG13,"ร"))</f>
        <v/>
      </c>
      <c r="DH16" s="581">
        <f>IF(DH$4&lt;&gt;1,"",COUNTIF(DH9:DH13,"ร"))</f>
        <v/>
      </c>
      <c r="DI16" s="581">
        <f>IF(DI$4&lt;&gt;1,"",COUNTIF(DI9:DI13,"ร"))</f>
        <v/>
      </c>
      <c r="DJ16" s="581">
        <f>IF(DJ$4&lt;&gt;1,"",COUNTIF(DJ9:DJ13,"ร"))</f>
        <v/>
      </c>
      <c r="DK16" s="581">
        <f>IF(DK$4&lt;&gt;1,"",COUNTIF(DK9:DK13,"ร"))</f>
        <v/>
      </c>
      <c r="DL16" s="581">
        <f>IF(DL$4&lt;&gt;1,"",COUNTIF(DL9:DL13,"ร"))</f>
        <v/>
      </c>
      <c r="DM16" s="581">
        <f>IF(DM$4&lt;&gt;1,"",COUNTIF(DM9:DM13,"ร"))</f>
        <v/>
      </c>
      <c r="DN16" s="581">
        <f>IF(DN$4&lt;&gt;1,"",COUNTIF(DN9:DN13,"ร"))</f>
        <v/>
      </c>
      <c r="DO16" s="581">
        <f>IF(DO$4&lt;&gt;1,"",COUNTIF(DO9:DO13,"ร"))</f>
        <v/>
      </c>
      <c r="DP16" s="581">
        <f>IF(DP$4&lt;&gt;1,"",COUNTIF(DP9:DP13,"ร"))</f>
        <v/>
      </c>
      <c r="DQ16" s="581">
        <f>IF(DQ$4&lt;&gt;1,"",COUNTIF(DQ9:DQ13,"ร"))</f>
        <v/>
      </c>
      <c r="DR16" s="581">
        <f>IF(DR$4&lt;&gt;1,"",COUNTIF(DR9:DR13,"ร"))</f>
        <v/>
      </c>
      <c r="DS16" s="581">
        <f>IF(DS$4&lt;&gt;1,"",COUNTIF(DS9:DS13,"ร"))</f>
        <v/>
      </c>
      <c r="DT16" s="581">
        <f>IF(DT$4&lt;&gt;1,"",COUNTIF(DT9:DT13,"ร"))</f>
        <v/>
      </c>
      <c r="DU16" s="581">
        <f>IF(DU$4&lt;&gt;1,"",COUNTIF(DU9:DU13,"ร"))</f>
        <v/>
      </c>
      <c r="DV16" s="581">
        <f>IF(DV$4&lt;&gt;1,"",COUNTIF(DV9:DV13,"ร"))</f>
        <v/>
      </c>
      <c r="DW16" s="581">
        <f>IF(DW$4&lt;&gt;1,"",COUNTIF(DW9:DW13,"ร"))</f>
        <v/>
      </c>
      <c r="DX16" s="581">
        <f>IF(DX$4&lt;&gt;1,"",COUNTIF(DX9:DX13,"ร"))</f>
        <v/>
      </c>
      <c r="DY16" s="581">
        <f>IF(DY$4&lt;&gt;1,"",COUNTIF(DY9:DY13,"ร"))</f>
        <v/>
      </c>
      <c r="DZ16" s="581">
        <f>IF(DZ$4&lt;&gt;1,"",COUNTIF(DZ9:DZ13,"ร"))</f>
        <v/>
      </c>
      <c r="EA16" s="581">
        <f>IF(EA$4&lt;&gt;1,"",COUNTIF(EA9:EA13,"ร"))</f>
        <v/>
      </c>
      <c r="EB16" s="581">
        <f>IF(EB$4&lt;&gt;1,"",COUNTIF(EB9:EB13,"ร"))</f>
        <v/>
      </c>
      <c r="EC16" s="581">
        <f>IF(EC$4&lt;&gt;1,"",COUNTIF(EC9:EC13,"ร"))</f>
        <v/>
      </c>
      <c r="ED16" s="581">
        <f>IF(ED$4&lt;&gt;1,"",COUNTIF(ED9:ED13,"ร"))</f>
        <v/>
      </c>
      <c r="EE16" s="581">
        <f>IF(EE$4&lt;&gt;1,"",COUNTIF(EE9:EE13,"ร"))</f>
        <v/>
      </c>
      <c r="EF16" s="581">
        <f>IF(EF$4&lt;&gt;1,"",COUNTIF(EF9:EF13,"ร"))</f>
        <v/>
      </c>
      <c r="EG16" s="582" t="n"/>
      <c r="EH16" s="583" t="n"/>
      <c r="EI16" s="584" t="n"/>
      <c r="EJ16" s="580">
        <f>IF(EJ$4&lt;&gt;1,"",COUNTIF(EJ9:EJ13,"ร"))</f>
        <v/>
      </c>
      <c r="EK16" s="581">
        <f>IF(EK$4&lt;&gt;1,"",COUNTIF(EK9:EK13,"ร"))</f>
        <v/>
      </c>
      <c r="EL16" s="581">
        <f>IF(EL$4&lt;&gt;1,"",COUNTIF(EL9:EL13,"ร"))</f>
        <v/>
      </c>
      <c r="EM16" s="581">
        <f>IF(EM$4&lt;&gt;1,"",COUNTIF(EM9:EM13,"ร"))</f>
        <v/>
      </c>
      <c r="EN16" s="581">
        <f>IF(EN$4&lt;&gt;1,"",COUNTIF(EN9:EN13,"ร"))</f>
        <v/>
      </c>
      <c r="EO16" s="581">
        <f>IF(EO$4&lt;&gt;1,"",COUNTIF(EO9:EO13,"ร"))</f>
        <v/>
      </c>
      <c r="EP16" s="581">
        <f>IF(EP$4&lt;&gt;1,"",COUNTIF(EP9:EP13,"ร"))</f>
        <v/>
      </c>
      <c r="EQ16" s="581">
        <f>IF(EQ$4&lt;&gt;1,"",COUNTIF(EQ9:EQ13,"ร"))</f>
        <v/>
      </c>
      <c r="ER16" s="581">
        <f>IF(ER$4&lt;&gt;1,"",COUNTIF(ER9:ER13,"ร"))</f>
        <v/>
      </c>
      <c r="ES16" s="581">
        <f>IF(ES$4&lt;&gt;1,"",COUNTIF(ES9:ES13,"ร"))</f>
        <v/>
      </c>
      <c r="ET16" s="581">
        <f>IF(ET$4&lt;&gt;1,"",COUNTIF(ET9:ET13,"ร"))</f>
        <v/>
      </c>
      <c r="EU16" s="581">
        <f>IF(EU$4&lt;&gt;1,"",COUNTIF(EU9:EU13,"ร"))</f>
        <v/>
      </c>
      <c r="EV16" s="581">
        <f>IF(EV$4&lt;&gt;1,"",COUNTIF(EV9:EV13,"ร"))</f>
        <v/>
      </c>
      <c r="EW16" s="581">
        <f>IF(EW$4&lt;&gt;1,"",COUNTIF(EW9:EW13,"ร"))</f>
        <v/>
      </c>
      <c r="EX16" s="581">
        <f>IF(EX$4&lt;&gt;1,"",COUNTIF(EX9:EX13,"ร"))</f>
        <v/>
      </c>
      <c r="EY16" s="581">
        <f>IF(EY$4&lt;&gt;1,"",COUNTIF(EY9:EY13,"ร"))</f>
        <v/>
      </c>
      <c r="EZ16" s="581">
        <f>IF(EZ$4&lt;&gt;1,"",COUNTIF(EZ9:EZ13,"ร"))</f>
        <v/>
      </c>
      <c r="FA16" s="581">
        <f>IF(FA$4&lt;&gt;1,"",COUNTIF(FA9:FA13,"ร"))</f>
        <v/>
      </c>
      <c r="FB16" s="581">
        <f>IF(FB$4&lt;&gt;1,"",COUNTIF(FB9:FB13,"ร"))</f>
        <v/>
      </c>
      <c r="FC16" s="581">
        <f>IF(FC$4&lt;&gt;1,"",COUNTIF(FC9:FC13,"ร"))</f>
        <v/>
      </c>
      <c r="FD16" s="581">
        <f>IF(FD$4&lt;&gt;1,"",COUNTIF(FD9:FD13,"ร"))</f>
        <v/>
      </c>
      <c r="FE16" s="581">
        <f>IF(FE$4&lt;&gt;1,"",COUNTIF(FE9:FE13,"ร"))</f>
        <v/>
      </c>
      <c r="FF16" s="581">
        <f>IF(FF$4&lt;&gt;1,"",COUNTIF(FF9:FF13,"ร"))</f>
        <v/>
      </c>
      <c r="FG16" s="581">
        <f>IF(FG$4&lt;&gt;1,"",COUNTIF(FG9:FG13,"ร"))</f>
        <v/>
      </c>
      <c r="FH16" s="581">
        <f>IF(FH$4&lt;&gt;1,"",COUNTIF(FH9:FH13,"ร"))</f>
        <v/>
      </c>
      <c r="FI16" s="581">
        <f>IF(FI$4&lt;&gt;1,"",COUNTIF(FI9:FI13,"ร"))</f>
        <v/>
      </c>
      <c r="FJ16" s="581">
        <f>IF(FJ$4&lt;&gt;1,"",COUNTIF(FJ9:FJ13,"ร"))</f>
        <v/>
      </c>
      <c r="FK16" s="581">
        <f>IF(FK$4&lt;&gt;1,"",COUNTIF(FK9:FK13,"ร"))</f>
        <v/>
      </c>
      <c r="FL16" s="581">
        <f>IF(FL$4&lt;&gt;1,"",COUNTIF(FL9:FL13,"ร"))</f>
        <v/>
      </c>
      <c r="FM16" s="581">
        <f>IF(FM$4&lt;&gt;1,"",COUNTIF(FM9:FM13,"ร"))</f>
        <v/>
      </c>
      <c r="FN16" s="581">
        <f>IF(FN$4&lt;&gt;1,"",COUNTIF(FN9:FN13,"ร"))</f>
        <v/>
      </c>
      <c r="FO16" s="582" t="n"/>
      <c r="FP16" s="583" t="n"/>
      <c r="FQ16" s="584" t="n"/>
    </row>
    <row r="17">
      <c r="A17" s="579" t="inlineStr"/>
      <c r="B17" s="184" t="n"/>
      <c r="C17" s="184" t="n"/>
      <c r="D17" s="585" t="n"/>
      <c r="E17" s="496" t="n"/>
      <c r="F17" s="496" t="n"/>
      <c r="G17" s="496" t="n"/>
      <c r="H17" s="496" t="n"/>
      <c r="I17" s="496" t="n"/>
      <c r="J17" s="496" t="n"/>
      <c r="K17" s="496" t="n"/>
      <c r="L17" s="496" t="n"/>
      <c r="M17" s="496" t="n"/>
      <c r="N17" s="496" t="n"/>
      <c r="O17" s="496" t="n"/>
      <c r="P17" s="496" t="n"/>
      <c r="Q17" s="496" t="n"/>
      <c r="R17" s="496" t="n"/>
      <c r="S17" s="496" t="n"/>
      <c r="T17" s="496" t="n"/>
      <c r="U17" s="496" t="n"/>
      <c r="V17" s="496" t="n"/>
      <c r="W17" s="496" t="n"/>
      <c r="X17" s="496" t="n"/>
      <c r="Y17" s="496" t="n"/>
      <c r="Z17" s="496" t="n"/>
      <c r="AA17" s="496" t="n"/>
      <c r="AB17" s="496" t="n"/>
      <c r="AC17" s="496" t="n"/>
      <c r="AD17" s="496" t="n"/>
      <c r="AE17" s="496" t="n"/>
      <c r="AF17" s="496" t="n"/>
      <c r="AG17" s="496" t="n"/>
      <c r="AH17" s="496" t="n"/>
      <c r="AI17" s="582" t="n"/>
      <c r="AJ17" s="583" t="n"/>
      <c r="AK17" s="584" t="n"/>
      <c r="AL17" s="585" t="n"/>
      <c r="AM17" s="496" t="n"/>
      <c r="AN17" s="496" t="n"/>
      <c r="AO17" s="496" t="n"/>
      <c r="AP17" s="496" t="n"/>
      <c r="AQ17" s="496" t="n"/>
      <c r="AR17" s="496" t="n"/>
      <c r="AS17" s="496" t="n"/>
      <c r="AT17" s="496" t="n"/>
      <c r="AU17" s="496" t="n"/>
      <c r="AV17" s="496" t="n"/>
      <c r="AW17" s="496" t="n"/>
      <c r="AX17" s="496" t="n"/>
      <c r="AY17" s="496" t="n"/>
      <c r="AZ17" s="496" t="n"/>
      <c r="BA17" s="496" t="n"/>
      <c r="BB17" s="496" t="n"/>
      <c r="BC17" s="496" t="n"/>
      <c r="BD17" s="496" t="n"/>
      <c r="BE17" s="496" t="n"/>
      <c r="BF17" s="496" t="n"/>
      <c r="BG17" s="496" t="n"/>
      <c r="BH17" s="496" t="n"/>
      <c r="BI17" s="496" t="n"/>
      <c r="BJ17" s="496" t="n"/>
      <c r="BK17" s="496" t="n"/>
      <c r="BL17" s="496" t="n"/>
      <c r="BM17" s="496" t="n"/>
      <c r="BN17" s="496" t="n"/>
      <c r="BO17" s="496" t="n"/>
      <c r="BP17" s="496" t="n"/>
      <c r="BQ17" s="582" t="n"/>
      <c r="BR17" s="583" t="n"/>
      <c r="BS17" s="584" t="n"/>
      <c r="BT17" s="585" t="n"/>
      <c r="BU17" s="496" t="n"/>
      <c r="BV17" s="496" t="n"/>
      <c r="BW17" s="496" t="n"/>
      <c r="BX17" s="496" t="n"/>
      <c r="BY17" s="496" t="n"/>
      <c r="BZ17" s="496" t="n"/>
      <c r="CA17" s="496" t="n"/>
      <c r="CB17" s="496" t="n"/>
      <c r="CC17" s="496" t="n"/>
      <c r="CD17" s="496" t="n"/>
      <c r="CE17" s="496" t="n"/>
      <c r="CF17" s="496" t="n"/>
      <c r="CG17" s="496" t="n"/>
      <c r="CH17" s="496" t="n"/>
      <c r="CI17" s="496" t="n"/>
      <c r="CJ17" s="496" t="n"/>
      <c r="CK17" s="496" t="n"/>
      <c r="CL17" s="496" t="n"/>
      <c r="CM17" s="496" t="n"/>
      <c r="CN17" s="496" t="n"/>
      <c r="CO17" s="496" t="n"/>
      <c r="CP17" s="496" t="n"/>
      <c r="CQ17" s="496" t="n"/>
      <c r="CR17" s="496" t="n"/>
      <c r="CS17" s="496" t="n"/>
      <c r="CT17" s="496" t="n"/>
      <c r="CU17" s="496" t="n"/>
      <c r="CV17" s="496" t="n"/>
      <c r="CW17" s="496" t="n"/>
      <c r="CX17" s="496" t="n"/>
      <c r="CY17" s="582" t="n"/>
      <c r="CZ17" s="583" t="n"/>
      <c r="DA17" s="584" t="n"/>
      <c r="DB17" s="585" t="n"/>
      <c r="DC17" s="496" t="n"/>
      <c r="DD17" s="496" t="n"/>
      <c r="DE17" s="496" t="n"/>
      <c r="DF17" s="496" t="n"/>
      <c r="DG17" s="496" t="n"/>
      <c r="DH17" s="496" t="n"/>
      <c r="DI17" s="496" t="n"/>
      <c r="DJ17" s="496" t="n"/>
      <c r="DK17" s="496" t="n"/>
      <c r="DL17" s="496" t="n"/>
      <c r="DM17" s="496" t="n"/>
      <c r="DN17" s="496" t="n"/>
      <c r="DO17" s="496" t="n"/>
      <c r="DP17" s="496" t="n"/>
      <c r="DQ17" s="496" t="n"/>
      <c r="DR17" s="496" t="n"/>
      <c r="DS17" s="496" t="n"/>
      <c r="DT17" s="496" t="n"/>
      <c r="DU17" s="496" t="n"/>
      <c r="DV17" s="496" t="n"/>
      <c r="DW17" s="496" t="n"/>
      <c r="DX17" s="496" t="n"/>
      <c r="DY17" s="496" t="n"/>
      <c r="DZ17" s="496" t="n"/>
      <c r="EA17" s="496" t="n"/>
      <c r="EB17" s="496" t="n"/>
      <c r="EC17" s="496" t="n"/>
      <c r="ED17" s="496" t="n"/>
      <c r="EE17" s="496" t="n"/>
      <c r="EF17" s="496" t="n"/>
      <c r="EG17" s="582" t="n"/>
      <c r="EH17" s="583" t="n"/>
      <c r="EI17" s="584" t="n"/>
      <c r="EJ17" s="585" t="n"/>
      <c r="EK17" s="496" t="n"/>
      <c r="EL17" s="496" t="n"/>
      <c r="EM17" s="496" t="n"/>
      <c r="EN17" s="496" t="n"/>
      <c r="EO17" s="496" t="n"/>
      <c r="EP17" s="496" t="n"/>
      <c r="EQ17" s="496" t="n"/>
      <c r="ER17" s="496" t="n"/>
      <c r="ES17" s="496" t="n"/>
      <c r="ET17" s="496" t="n"/>
      <c r="EU17" s="496" t="n"/>
      <c r="EV17" s="496" t="n"/>
      <c r="EW17" s="496" t="n"/>
      <c r="EX17" s="496" t="n"/>
      <c r="EY17" s="496" t="n"/>
      <c r="EZ17" s="496" t="n"/>
      <c r="FA17" s="496" t="n"/>
      <c r="FB17" s="496" t="n"/>
      <c r="FC17" s="496" t="n"/>
      <c r="FD17" s="496" t="n"/>
      <c r="FE17" s="496" t="n"/>
      <c r="FF17" s="496" t="n"/>
      <c r="FG17" s="496" t="n"/>
      <c r="FH17" s="496" t="n"/>
      <c r="FI17" s="496" t="n"/>
      <c r="FJ17" s="496" t="n"/>
      <c r="FK17" s="496" t="n"/>
      <c r="FL17" s="496" t="n"/>
      <c r="FM17" s="496" t="n"/>
      <c r="FN17" s="496" t="n"/>
      <c r="FO17" s="582" t="n"/>
      <c r="FP17" s="583" t="n"/>
      <c r="FQ17" s="58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">
      <formula>D9="น"</formula>
    </cfRule>
    <cfRule type="expression" priority="16" dxfId="11">
      <formula>D9="พ"</formula>
    </cfRule>
    <cfRule type="expression" priority="17" dxfId="2">
      <formula>D9="อ"</formula>
    </cfRule>
    <cfRule type="expression" priority="18" dxfId="11">
      <formula>D9="ช"</formula>
    </cfRule>
    <cfRule type="expression" priority="19" dxfId="1">
      <formula>D9="ร"</formula>
    </cfRule>
    <cfRule type="expression" priority="20" dxfId="12">
      <formula>D9="ผ"</formula>
    </cfRule>
    <cfRule type="expression" priority="21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AL9:BP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BT9:CX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DB9:EF13" showDropDown="0" showInputMessage="0" showErrorMessage="0" allowBlank="1" errorTitle="ตรวจสอบข้อมูล" error="ใช้รหัส: อ  ช  ร  ผ" type="list">
      <formula1>"อ,ช,ร,ผ"</formula1>
    </dataValidation>
    <dataValidation sqref="EJ9:FN13" showDropDown="0" showInputMessage="0" showErrorMessage="0" allowBlank="1" errorTitle="ตรวจสอบข้อมูล" error="ใช้รหัส: อ  ช  ร  ผ" type="list">
      <formula1>"อ,ช,ร,ผ"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tabColor rgb="0079D389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586" t="inlineStr">
        <is>
          <t>🏠</t>
        </is>
      </c>
      <c r="B1" s="587" t="n"/>
      <c r="C1" s="587" t="n"/>
      <c r="D1" s="587" t="n"/>
      <c r="E1" s="587" t="n"/>
      <c r="F1" s="587" t="n"/>
      <c r="G1" s="587" t="n"/>
      <c r="H1" s="587" t="n"/>
      <c r="I1" s="587" t="n"/>
      <c r="J1" s="587" t="n"/>
      <c r="K1" s="587" t="n"/>
      <c r="L1" s="587" t="n"/>
      <c r="M1" s="587" t="n"/>
      <c r="N1" s="587" t="n"/>
      <c r="O1" s="587" t="n"/>
      <c r="P1" s="587" t="n"/>
      <c r="Q1" s="587" t="n"/>
      <c r="R1" s="587" t="n"/>
      <c r="S1" s="587" t="n"/>
      <c r="T1" s="587" t="n"/>
      <c r="U1" s="587" t="n"/>
      <c r="V1" s="587" t="n"/>
      <c r="W1" s="587" t="n"/>
      <c r="X1" s="587" t="n"/>
      <c r="Y1" s="587" t="n"/>
      <c r="Z1" s="587" t="n"/>
      <c r="AA1" s="587" t="n"/>
      <c r="AB1" s="587" t="n"/>
      <c r="AC1" s="587" t="n"/>
      <c r="AD1" s="587" t="n"/>
      <c r="AE1" s="587" t="n"/>
      <c r="AF1" s="587" t="n"/>
      <c r="AG1" s="587" t="n"/>
      <c r="AH1" s="587" t="n"/>
      <c r="AI1" s="587" t="n"/>
      <c r="AJ1" s="587" t="n"/>
      <c r="AK1" s="587" t="n"/>
      <c r="AL1" s="587" t="n"/>
      <c r="AM1" s="587" t="n"/>
      <c r="AN1" s="587" t="n"/>
      <c r="AO1" s="587" t="n"/>
      <c r="AP1" s="587" t="n"/>
      <c r="AQ1" s="587" t="n"/>
      <c r="AR1" s="587" t="n"/>
      <c r="AS1" s="587" t="n"/>
      <c r="AT1" s="587" t="n"/>
      <c r="AU1" s="587" t="n"/>
      <c r="AV1" s="587" t="n"/>
      <c r="AW1" s="587" t="n"/>
      <c r="AX1" s="587" t="n"/>
      <c r="AY1" s="587" t="n"/>
      <c r="AZ1" s="587" t="n"/>
      <c r="BA1" s="587" t="n"/>
      <c r="BB1" s="587" t="n"/>
      <c r="BC1" s="587" t="n"/>
      <c r="BD1" s="587" t="n"/>
      <c r="BE1" s="587" t="n"/>
      <c r="BF1" s="587" t="n"/>
      <c r="BG1" s="587" t="n"/>
      <c r="BH1" s="587" t="n"/>
      <c r="BI1" s="587" t="n"/>
      <c r="BJ1" s="587" t="n"/>
      <c r="BK1" s="587" t="n"/>
      <c r="BL1" s="587" t="n"/>
      <c r="BM1" s="587" t="n"/>
      <c r="BN1" s="587" t="n"/>
      <c r="BO1" s="587" t="n"/>
      <c r="BP1" s="587" t="n"/>
      <c r="BQ1" s="587" t="n"/>
      <c r="BR1" s="587" t="n"/>
      <c r="BS1" s="587" t="n"/>
      <c r="BT1" s="587" t="n"/>
      <c r="BU1" s="587" t="n"/>
      <c r="BV1" s="587" t="n"/>
      <c r="BW1" s="587" t="n"/>
      <c r="BX1" s="587" t="n"/>
      <c r="BY1" s="587" t="n"/>
      <c r="BZ1" s="587" t="n"/>
      <c r="CA1" s="587" t="n"/>
      <c r="CB1" s="587" t="n"/>
      <c r="CC1" s="587" t="n"/>
      <c r="CD1" s="587" t="n"/>
      <c r="CE1" s="587" t="n"/>
      <c r="CF1" s="587" t="n"/>
      <c r="CG1" s="587" t="n"/>
      <c r="CH1" s="587" t="n"/>
      <c r="CI1" s="587" t="n"/>
      <c r="CJ1" s="587" t="n"/>
      <c r="CK1" s="587" t="n"/>
      <c r="CL1" s="587" t="n"/>
      <c r="CM1" s="587" t="n"/>
      <c r="CN1" s="587" t="n"/>
      <c r="CO1" s="587" t="n"/>
      <c r="CP1" s="587" t="n"/>
      <c r="CQ1" s="587" t="n"/>
      <c r="CR1" s="587" t="n"/>
      <c r="CS1" s="587" t="n"/>
      <c r="CT1" s="587" t="n"/>
      <c r="CU1" s="587" t="n"/>
      <c r="CV1" s="587" t="n"/>
      <c r="CW1" s="587" t="n"/>
      <c r="CX1" s="587" t="n"/>
      <c r="CY1" s="587" t="n"/>
      <c r="CZ1" s="587" t="n"/>
      <c r="DA1" s="587" t="n"/>
      <c r="DB1" s="587" t="n"/>
      <c r="DC1" s="587" t="n"/>
      <c r="DD1" s="587" t="n"/>
      <c r="DE1" s="587" t="n"/>
      <c r="DF1" s="587" t="n"/>
      <c r="DG1" s="587" t="n"/>
      <c r="DH1" s="587" t="n"/>
      <c r="DI1" s="587" t="n"/>
      <c r="DJ1" s="587" t="n"/>
      <c r="DK1" s="587" t="n"/>
      <c r="DL1" s="587" t="n"/>
      <c r="DM1" s="587" t="n"/>
      <c r="DN1" s="587" t="n"/>
      <c r="DO1" s="587" t="n"/>
      <c r="DP1" s="587" t="n"/>
      <c r="DQ1" s="587" t="n"/>
      <c r="DR1" s="587" t="n"/>
      <c r="DS1" s="587" t="n"/>
      <c r="DT1" s="587" t="n"/>
      <c r="DU1" s="587" t="n"/>
      <c r="DV1" s="587" t="n"/>
      <c r="DW1" s="587" t="n"/>
      <c r="DX1" s="587" t="n"/>
      <c r="DY1" s="587" t="n"/>
      <c r="DZ1" s="587" t="n"/>
      <c r="EA1" s="587" t="n"/>
      <c r="EB1" s="587" t="n"/>
      <c r="EC1" s="587" t="n"/>
      <c r="ED1" s="587" t="n"/>
      <c r="EE1" s="587" t="n"/>
      <c r="EF1" s="587" t="n"/>
      <c r="EG1" s="587" t="n"/>
      <c r="EH1" s="587" t="n"/>
      <c r="EI1" s="587" t="n"/>
      <c r="EJ1" s="587" t="n"/>
      <c r="EK1" s="587" t="n"/>
      <c r="EL1" s="587" t="n"/>
      <c r="EM1" s="587" t="n"/>
      <c r="EN1" s="587" t="n"/>
      <c r="EO1" s="587" t="n"/>
      <c r="EP1" s="587" t="n"/>
      <c r="EQ1" s="587" t="n"/>
      <c r="ER1" s="587" t="n"/>
      <c r="ES1" s="587" t="n"/>
      <c r="ET1" s="587" t="n"/>
      <c r="EU1" s="587" t="n"/>
      <c r="EV1" s="587" t="n"/>
      <c r="EW1" s="587" t="n"/>
      <c r="EX1" s="587" t="n"/>
      <c r="EY1" s="587" t="n"/>
      <c r="EZ1" s="587" t="n"/>
      <c r="FA1" s="587" t="n"/>
      <c r="FB1" s="587" t="n"/>
      <c r="FC1" s="587" t="n"/>
      <c r="FD1" s="587" t="n"/>
      <c r="FE1" s="587" t="n"/>
      <c r="FF1" s="587" t="n"/>
      <c r="FG1" s="587" t="n"/>
      <c r="FH1" s="587" t="n"/>
      <c r="FI1" s="587" t="n"/>
      <c r="FJ1" s="587" t="n"/>
      <c r="FK1" s="587" t="n"/>
      <c r="FL1" s="587" t="n"/>
      <c r="FM1" s="587" t="n"/>
      <c r="FN1" s="587" t="n"/>
      <c r="FO1" s="587" t="n"/>
      <c r="FP1" s="587" t="n"/>
      <c r="FQ1" s="587" t="n"/>
      <c r="FR1" s="587" t="n"/>
      <c r="FS1" s="587" t="n"/>
      <c r="FT1" s="587" t="n"/>
      <c r="FU1" s="587" t="n"/>
      <c r="FV1" s="587" t="n"/>
      <c r="FW1" s="587" t="n"/>
      <c r="FX1" s="587" t="n"/>
      <c r="FY1" s="587" t="n"/>
      <c r="FZ1" s="587" t="n"/>
      <c r="GA1" s="587" t="n"/>
      <c r="GB1" s="587" t="n"/>
      <c r="GC1" s="587" t="n"/>
      <c r="GD1" s="587" t="n"/>
      <c r="GE1" s="587" t="n"/>
      <c r="GF1" s="587" t="n"/>
      <c r="GG1" s="587" t="n"/>
      <c r="GH1" s="587" t="n"/>
      <c r="GI1" s="587" t="n"/>
      <c r="GJ1" s="587" t="n"/>
      <c r="GK1" s="587" t="n"/>
      <c r="GL1" s="587" t="n"/>
      <c r="GM1" s="587" t="n"/>
      <c r="GN1" s="587" t="n"/>
      <c r="GO1" s="587" t="n"/>
      <c r="GP1" s="587" t="n"/>
      <c r="GQ1" s="587" t="n"/>
      <c r="GR1" s="587" t="n"/>
      <c r="GS1" s="587" t="n"/>
      <c r="GT1" s="587" t="n"/>
      <c r="GU1" s="587" t="n"/>
      <c r="GV1" s="587" t="n"/>
      <c r="GW1" s="587" t="n"/>
      <c r="GX1" s="587" t="n"/>
      <c r="GY1" s="587" t="n"/>
    </row>
    <row r="2" ht="20" customHeight="1">
      <c r="A2" s="588" t="inlineStr">
        <is>
          <t>หน้าหลัก</t>
        </is>
      </c>
      <c r="B2" s="58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90" t="n"/>
      <c r="D2" s="590" t="n"/>
      <c r="E2" s="590" t="n"/>
      <c r="F2" s="590" t="n"/>
      <c r="G2" s="590" t="n"/>
      <c r="H2" s="590" t="n"/>
      <c r="I2" s="590" t="n"/>
      <c r="J2" s="590" t="n"/>
      <c r="K2" s="590" t="n"/>
      <c r="L2" s="590" t="n"/>
      <c r="M2" s="590" t="n"/>
      <c r="N2" s="590" t="n"/>
      <c r="O2" s="590" t="n"/>
      <c r="P2" s="590" t="n"/>
      <c r="Q2" s="590" t="n"/>
      <c r="R2" s="590" t="n"/>
      <c r="S2" s="590" t="n"/>
      <c r="T2" s="590" t="n"/>
      <c r="U2" s="590" t="n"/>
      <c r="V2" s="590" t="n"/>
      <c r="W2" s="590" t="n"/>
      <c r="X2" s="590" t="n"/>
      <c r="Y2" s="590" t="n"/>
      <c r="Z2" s="590" t="n"/>
      <c r="AA2" s="590" t="n"/>
      <c r="AB2" s="590" t="n"/>
      <c r="AC2" s="590" t="n"/>
      <c r="AD2" s="590" t="n"/>
      <c r="AE2" s="590" t="n"/>
      <c r="AF2" s="590" t="n"/>
      <c r="AG2" s="590" t="n"/>
      <c r="AH2" s="590" t="n"/>
      <c r="AI2" s="590" t="n"/>
      <c r="AJ2" s="590" t="n"/>
      <c r="AK2" s="590" t="n"/>
      <c r="AL2" s="590" t="n"/>
      <c r="AM2" s="590" t="n"/>
      <c r="AN2" s="590" t="n"/>
      <c r="AO2" s="590" t="n"/>
      <c r="AP2" s="590" t="n"/>
      <c r="AQ2" s="590" t="n"/>
      <c r="AR2" s="590" t="n"/>
      <c r="AS2" s="590" t="n"/>
      <c r="AT2" s="590" t="n"/>
      <c r="AU2" s="590" t="n"/>
      <c r="AV2" s="590" t="n"/>
      <c r="AW2" s="590" t="n"/>
      <c r="AX2" s="590" t="n"/>
      <c r="AY2" s="590" t="n"/>
      <c r="AZ2" s="590" t="n"/>
      <c r="BA2" s="590" t="n"/>
      <c r="BB2" s="590" t="n"/>
      <c r="BC2" s="590" t="n"/>
      <c r="BD2" s="590" t="n"/>
      <c r="BE2" s="590" t="n"/>
      <c r="BF2" s="590" t="n"/>
      <c r="BG2" s="590" t="n"/>
      <c r="BH2" s="590" t="n"/>
      <c r="BI2" s="590" t="n"/>
      <c r="BJ2" s="590" t="n"/>
      <c r="BK2" s="590" t="n"/>
      <c r="BL2" s="590" t="n"/>
      <c r="BM2" s="590" t="n"/>
      <c r="BN2" s="590" t="n"/>
      <c r="BO2" s="590" t="n"/>
      <c r="BP2" s="590" t="n"/>
      <c r="BQ2" s="590" t="n"/>
      <c r="BR2" s="590" t="n"/>
      <c r="BS2" s="590" t="n"/>
      <c r="BT2" s="590" t="n"/>
      <c r="BU2" s="590" t="n"/>
      <c r="BV2" s="590" t="n"/>
      <c r="BW2" s="590" t="n"/>
      <c r="BX2" s="590" t="n"/>
      <c r="BY2" s="590" t="n"/>
      <c r="BZ2" s="590" t="n"/>
      <c r="CA2" s="590" t="n"/>
      <c r="CB2" s="590" t="n"/>
      <c r="CC2" s="590" t="n"/>
      <c r="CD2" s="590" t="n"/>
      <c r="CE2" s="590" t="n"/>
      <c r="CF2" s="590" t="n"/>
      <c r="CG2" s="590" t="n"/>
      <c r="CH2" s="590" t="n"/>
      <c r="CI2" s="590" t="n"/>
      <c r="CJ2" s="590" t="n"/>
      <c r="CK2" s="590" t="n"/>
      <c r="CL2" s="590" t="n"/>
      <c r="CM2" s="590" t="n"/>
      <c r="CN2" s="590" t="n"/>
      <c r="CO2" s="590" t="n"/>
      <c r="CP2" s="590" t="n"/>
      <c r="CQ2" s="590" t="n"/>
      <c r="CR2" s="590" t="n"/>
      <c r="CS2" s="590" t="n"/>
      <c r="CT2" s="590" t="n"/>
      <c r="CU2" s="590" t="n"/>
      <c r="CV2" s="590" t="n"/>
      <c r="CW2" s="590" t="n"/>
      <c r="CX2" s="590" t="n"/>
      <c r="CY2" s="590" t="n"/>
      <c r="CZ2" s="590" t="n"/>
      <c r="DA2" s="590" t="n"/>
      <c r="DB2" s="590" t="n"/>
      <c r="DC2" s="590" t="n"/>
      <c r="DD2" s="590" t="n"/>
      <c r="DE2" s="590" t="n"/>
      <c r="DF2" s="590" t="n"/>
      <c r="DG2" s="590" t="n"/>
      <c r="DH2" s="590" t="n"/>
      <c r="DI2" s="590" t="n"/>
      <c r="DJ2" s="590" t="n"/>
      <c r="DK2" s="590" t="n"/>
      <c r="DL2" s="590" t="n"/>
      <c r="DM2" s="590" t="n"/>
      <c r="DN2" s="590" t="n"/>
      <c r="DO2" s="590" t="n"/>
      <c r="DP2" s="590" t="n"/>
      <c r="DQ2" s="590" t="n"/>
      <c r="DR2" s="590" t="n"/>
      <c r="DS2" s="590" t="n"/>
      <c r="DT2" s="590" t="n"/>
      <c r="DU2" s="590" t="n"/>
      <c r="DV2" s="590" t="n"/>
      <c r="DW2" s="590" t="n"/>
      <c r="DX2" s="590" t="n"/>
      <c r="DY2" s="590" t="n"/>
      <c r="DZ2" s="590" t="n"/>
      <c r="EA2" s="590" t="n"/>
      <c r="EB2" s="590" t="n"/>
      <c r="EC2" s="590" t="n"/>
      <c r="ED2" s="590" t="n"/>
      <c r="EE2" s="590" t="n"/>
      <c r="EF2" s="590" t="n"/>
      <c r="EG2" s="590" t="n"/>
      <c r="EH2" s="590" t="n"/>
      <c r="EI2" s="590" t="n"/>
      <c r="EJ2" s="590" t="n"/>
      <c r="EK2" s="590" t="n"/>
      <c r="EL2" s="590" t="n"/>
      <c r="EM2" s="590" t="n"/>
      <c r="EN2" s="590" t="n"/>
      <c r="EO2" s="590" t="n"/>
      <c r="EP2" s="590" t="n"/>
      <c r="EQ2" s="590" t="n"/>
      <c r="ER2" s="590" t="n"/>
      <c r="ES2" s="590" t="n"/>
      <c r="ET2" s="590" t="n"/>
      <c r="EU2" s="590" t="n"/>
      <c r="EV2" s="590" t="n"/>
      <c r="EW2" s="590" t="n"/>
      <c r="EX2" s="590" t="n"/>
      <c r="EY2" s="590" t="n"/>
      <c r="EZ2" s="590" t="n"/>
      <c r="FA2" s="590" t="n"/>
      <c r="FB2" s="590" t="n"/>
      <c r="FC2" s="590" t="n"/>
      <c r="FD2" s="590" t="n"/>
      <c r="FE2" s="590" t="n"/>
      <c r="FF2" s="590" t="n"/>
      <c r="FG2" s="590" t="n"/>
      <c r="FH2" s="590" t="n"/>
      <c r="FI2" s="590" t="n"/>
      <c r="FJ2" s="590" t="n"/>
      <c r="FK2" s="590" t="n"/>
      <c r="FL2" s="590" t="n"/>
      <c r="FM2" s="590" t="n"/>
      <c r="FN2" s="590" t="n"/>
      <c r="FO2" s="590" t="n"/>
      <c r="FP2" s="590" t="n"/>
      <c r="FQ2" s="590" t="n"/>
      <c r="FR2" s="590" t="n"/>
      <c r="FS2" s="590" t="n"/>
      <c r="FT2" s="590" t="n"/>
      <c r="FU2" s="590" t="n"/>
      <c r="FV2" s="590" t="n"/>
      <c r="FW2" s="590" t="n"/>
      <c r="FX2" s="590" t="n"/>
      <c r="FY2" s="590" t="n"/>
      <c r="FZ2" s="590" t="n"/>
      <c r="GA2" s="590" t="n"/>
      <c r="GB2" s="590" t="n"/>
      <c r="GC2" s="590" t="n"/>
      <c r="GD2" s="590" t="n"/>
      <c r="GE2" s="590" t="n"/>
      <c r="GF2" s="590" t="n"/>
      <c r="GG2" s="590" t="n"/>
      <c r="GH2" s="590" t="n"/>
      <c r="GI2" s="590" t="n"/>
      <c r="GJ2" s="590" t="n"/>
      <c r="GK2" s="590" t="n"/>
      <c r="GL2" s="590" t="n"/>
      <c r="GM2" s="590" t="n"/>
      <c r="GN2" s="590" t="n"/>
      <c r="GO2" s="590" t="n"/>
      <c r="GP2" s="590" t="n"/>
      <c r="GQ2" s="590" t="n"/>
      <c r="GR2" s="590" t="n"/>
      <c r="GS2" s="590" t="n"/>
      <c r="GT2" s="590" t="n"/>
      <c r="GU2" s="590" t="n"/>
      <c r="GV2" s="590" t="n"/>
      <c r="GW2" s="590" t="n"/>
      <c r="GX2" s="590" t="n"/>
      <c r="GY2" s="590" t="n"/>
    </row>
    <row r="3" ht="18" customHeight="1">
      <c r="B3" s="591" t="inlineStr">
        <is>
          <t>✓ = ออกกำลังกาย     ✗ = ไม่ได้ทำ      •   แถวล่างสุดบันทึกชื่อกิจกรรม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592" t="inlineStr">
        <is>
          <t>เลขที่</t>
        </is>
      </c>
      <c r="B5" s="592" t="inlineStr">
        <is>
          <t>ชื่อ - สกุล</t>
        </is>
      </c>
      <c r="C5" s="593" t="inlineStr">
        <is>
          <t>ร้อยละ
ทั้งภาค</t>
        </is>
      </c>
      <c r="D5" s="594">
        <f>"เดือนพฤษภาคม  พ.ศ. "&amp;('ข้อมูลโรงเรียน'!$C$12-543+543)</f>
        <v/>
      </c>
      <c r="AI5" s="595" t="inlineStr">
        <is>
          <t>สรุป พ.ค.</t>
        </is>
      </c>
      <c r="AL5" s="594">
        <f>"เดือนมิถุนายน  พ.ศ. "&amp;('ข้อมูลโรงเรียน'!$C$12-543+543)</f>
        <v/>
      </c>
      <c r="BQ5" s="595" t="inlineStr">
        <is>
          <t>สรุป มิ.ย.</t>
        </is>
      </c>
      <c r="BT5" s="594">
        <f>"เดือนกรกฎาคม  พ.ศ. "&amp;('ข้อมูลโรงเรียน'!$C$12-543+543)</f>
        <v/>
      </c>
      <c r="CY5" s="595" t="inlineStr">
        <is>
          <t>สรุป ก.ค.</t>
        </is>
      </c>
      <c r="DB5" s="594">
        <f>"เดือนสิงหาคม  พ.ศ. "&amp;('ข้อมูลโรงเรียน'!$C$12-543+543)</f>
        <v/>
      </c>
      <c r="EG5" s="595" t="inlineStr">
        <is>
          <t>สรุป ส.ค.</t>
        </is>
      </c>
      <c r="EJ5" s="594">
        <f>"เดือนกันยายน  พ.ศ. "&amp;('ข้อมูลโรงเรียน'!$C$12-543+543)</f>
        <v/>
      </c>
      <c r="FO5" s="595" t="inlineStr">
        <is>
          <t>สรุป ก.ย.</t>
        </is>
      </c>
      <c r="FR5" s="594">
        <f>"เดือนตุลาคม  พ.ศ. "&amp;('ข้อมูลโรงเรียน'!$C$12-543+543)</f>
        <v/>
      </c>
      <c r="GW5" s="595" t="inlineStr">
        <is>
          <t>สรุป ต.ค.</t>
        </is>
      </c>
    </row>
    <row r="6">
      <c r="D6" s="596">
        <f>IF('ปฏิทิน'!D1="","",DAY('ปฏิทิน'!D1))</f>
        <v/>
      </c>
      <c r="E6" s="593">
        <f>IF('ปฏิทิน'!E1="","",DAY('ปฏิทิน'!E1))</f>
        <v/>
      </c>
      <c r="F6" s="593">
        <f>IF('ปฏิทิน'!F1="","",DAY('ปฏิทิน'!F1))</f>
        <v/>
      </c>
      <c r="G6" s="593">
        <f>IF('ปฏิทิน'!G1="","",DAY('ปฏิทิน'!G1))</f>
        <v/>
      </c>
      <c r="H6" s="593">
        <f>IF('ปฏิทิน'!H1="","",DAY('ปฏิทิน'!H1))</f>
        <v/>
      </c>
      <c r="I6" s="593">
        <f>IF('ปฏิทิน'!I1="","",DAY('ปฏิทิน'!I1))</f>
        <v/>
      </c>
      <c r="J6" s="593">
        <f>IF('ปฏิทิน'!J1="","",DAY('ปฏิทิน'!J1))</f>
        <v/>
      </c>
      <c r="K6" s="593">
        <f>IF('ปฏิทิน'!K1="","",DAY('ปฏิทิน'!K1))</f>
        <v/>
      </c>
      <c r="L6" s="593">
        <f>IF('ปฏิทิน'!L1="","",DAY('ปฏิทิน'!L1))</f>
        <v/>
      </c>
      <c r="M6" s="593">
        <f>IF('ปฏิทิน'!M1="","",DAY('ปฏิทิน'!M1))</f>
        <v/>
      </c>
      <c r="N6" s="593">
        <f>IF('ปฏิทิน'!N1="","",DAY('ปฏิทิน'!N1))</f>
        <v/>
      </c>
      <c r="O6" s="593">
        <f>IF('ปฏิทิน'!O1="","",DAY('ปฏิทิน'!O1))</f>
        <v/>
      </c>
      <c r="P6" s="593">
        <f>IF('ปฏิทิน'!P1="","",DAY('ปฏิทิน'!P1))</f>
        <v/>
      </c>
      <c r="Q6" s="593">
        <f>IF('ปฏิทิน'!Q1="","",DAY('ปฏิทิน'!Q1))</f>
        <v/>
      </c>
      <c r="R6" s="593">
        <f>IF('ปฏิทิน'!R1="","",DAY('ปฏิทิน'!R1))</f>
        <v/>
      </c>
      <c r="S6" s="593">
        <f>IF('ปฏิทิน'!S1="","",DAY('ปฏิทิน'!S1))</f>
        <v/>
      </c>
      <c r="T6" s="593">
        <f>IF('ปฏิทิน'!T1="","",DAY('ปฏิทิน'!T1))</f>
        <v/>
      </c>
      <c r="U6" s="593">
        <f>IF('ปฏิทิน'!U1="","",DAY('ปฏิทิน'!U1))</f>
        <v/>
      </c>
      <c r="V6" s="593">
        <f>IF('ปฏิทิน'!V1="","",DAY('ปฏิทิน'!V1))</f>
        <v/>
      </c>
      <c r="W6" s="593">
        <f>IF('ปฏิทิน'!W1="","",DAY('ปฏิทิน'!W1))</f>
        <v/>
      </c>
      <c r="X6" s="593">
        <f>IF('ปฏิทิน'!X1="","",DAY('ปฏิทิน'!X1))</f>
        <v/>
      </c>
      <c r="Y6" s="593">
        <f>IF('ปฏิทิน'!Y1="","",DAY('ปฏิทิน'!Y1))</f>
        <v/>
      </c>
      <c r="Z6" s="593">
        <f>IF('ปฏิทิน'!Z1="","",DAY('ปฏิทิน'!Z1))</f>
        <v/>
      </c>
      <c r="AA6" s="593">
        <f>IF('ปฏิทิน'!AA1="","",DAY('ปฏิทิน'!AA1))</f>
        <v/>
      </c>
      <c r="AB6" s="593">
        <f>IF('ปฏิทิน'!AB1="","",DAY('ปฏิทิน'!AB1))</f>
        <v/>
      </c>
      <c r="AC6" s="593">
        <f>IF('ปฏิทิน'!AC1="","",DAY('ปฏิทิน'!AC1))</f>
        <v/>
      </c>
      <c r="AD6" s="593">
        <f>IF('ปฏิทิน'!AD1="","",DAY('ปฏิทิน'!AD1))</f>
        <v/>
      </c>
      <c r="AE6" s="593">
        <f>IF('ปฏิทิน'!AE1="","",DAY('ปฏิทิน'!AE1))</f>
        <v/>
      </c>
      <c r="AF6" s="593">
        <f>IF('ปฏิทิน'!AF1="","",DAY('ปฏิทิน'!AF1))</f>
        <v/>
      </c>
      <c r="AG6" s="593">
        <f>IF('ปฏิทิน'!AG1="","",DAY('ปฏิทิน'!AG1))</f>
        <v/>
      </c>
      <c r="AH6" s="593">
        <f>IF('ปฏิทิน'!AH1="","",DAY('ปฏิทิน'!AH1))</f>
        <v/>
      </c>
      <c r="AI6" s="597" t="inlineStr">
        <is>
          <t>ทำ</t>
        </is>
      </c>
      <c r="AJ6" s="598" t="inlineStr">
        <is>
          <t>ไม่
ทำ</t>
        </is>
      </c>
      <c r="AK6" s="599" t="inlineStr">
        <is>
          <t>ร้อยละ</t>
        </is>
      </c>
      <c r="AL6" s="596">
        <f>IF('ปฏิทิน'!AL1="","",DAY('ปฏิทิน'!AL1))</f>
        <v/>
      </c>
      <c r="AM6" s="593">
        <f>IF('ปฏิทิน'!AM1="","",DAY('ปฏิทิน'!AM1))</f>
        <v/>
      </c>
      <c r="AN6" s="593">
        <f>IF('ปฏิทิน'!AN1="","",DAY('ปฏิทิน'!AN1))</f>
        <v/>
      </c>
      <c r="AO6" s="593">
        <f>IF('ปฏิทิน'!AO1="","",DAY('ปฏิทิน'!AO1))</f>
        <v/>
      </c>
      <c r="AP6" s="593">
        <f>IF('ปฏิทิน'!AP1="","",DAY('ปฏิทิน'!AP1))</f>
        <v/>
      </c>
      <c r="AQ6" s="593">
        <f>IF('ปฏิทิน'!AQ1="","",DAY('ปฏิทิน'!AQ1))</f>
        <v/>
      </c>
      <c r="AR6" s="593">
        <f>IF('ปฏิทิน'!AR1="","",DAY('ปฏิทิน'!AR1))</f>
        <v/>
      </c>
      <c r="AS6" s="593">
        <f>IF('ปฏิทิน'!AS1="","",DAY('ปฏิทิน'!AS1))</f>
        <v/>
      </c>
      <c r="AT6" s="593">
        <f>IF('ปฏิทิน'!AT1="","",DAY('ปฏิทิน'!AT1))</f>
        <v/>
      </c>
      <c r="AU6" s="593">
        <f>IF('ปฏิทิน'!AU1="","",DAY('ปฏิทิน'!AU1))</f>
        <v/>
      </c>
      <c r="AV6" s="593">
        <f>IF('ปฏิทิน'!AV1="","",DAY('ปฏิทิน'!AV1))</f>
        <v/>
      </c>
      <c r="AW6" s="593">
        <f>IF('ปฏิทิน'!AW1="","",DAY('ปฏิทิน'!AW1))</f>
        <v/>
      </c>
      <c r="AX6" s="593">
        <f>IF('ปฏิทิน'!AX1="","",DAY('ปฏิทิน'!AX1))</f>
        <v/>
      </c>
      <c r="AY6" s="593">
        <f>IF('ปฏิทิน'!AY1="","",DAY('ปฏิทิน'!AY1))</f>
        <v/>
      </c>
      <c r="AZ6" s="593">
        <f>IF('ปฏิทิน'!AZ1="","",DAY('ปฏิทิน'!AZ1))</f>
        <v/>
      </c>
      <c r="BA6" s="593">
        <f>IF('ปฏิทิน'!BA1="","",DAY('ปฏิทิน'!BA1))</f>
        <v/>
      </c>
      <c r="BB6" s="593">
        <f>IF('ปฏิทิน'!BB1="","",DAY('ปฏิทิน'!BB1))</f>
        <v/>
      </c>
      <c r="BC6" s="593">
        <f>IF('ปฏิทิน'!BC1="","",DAY('ปฏิทิน'!BC1))</f>
        <v/>
      </c>
      <c r="BD6" s="593">
        <f>IF('ปฏิทิน'!BD1="","",DAY('ปฏิทิน'!BD1))</f>
        <v/>
      </c>
      <c r="BE6" s="593">
        <f>IF('ปฏิทิน'!BE1="","",DAY('ปฏิทิน'!BE1))</f>
        <v/>
      </c>
      <c r="BF6" s="593">
        <f>IF('ปฏิทิน'!BF1="","",DAY('ปฏิทิน'!BF1))</f>
        <v/>
      </c>
      <c r="BG6" s="593">
        <f>IF('ปฏิทิน'!BG1="","",DAY('ปฏิทิน'!BG1))</f>
        <v/>
      </c>
      <c r="BH6" s="593">
        <f>IF('ปฏิทิน'!BH1="","",DAY('ปฏิทิน'!BH1))</f>
        <v/>
      </c>
      <c r="BI6" s="593">
        <f>IF('ปฏิทิน'!BI1="","",DAY('ปฏิทิน'!BI1))</f>
        <v/>
      </c>
      <c r="BJ6" s="593">
        <f>IF('ปฏิทิน'!BJ1="","",DAY('ปฏิทิน'!BJ1))</f>
        <v/>
      </c>
      <c r="BK6" s="593">
        <f>IF('ปฏิทิน'!BK1="","",DAY('ปฏิทิน'!BK1))</f>
        <v/>
      </c>
      <c r="BL6" s="593">
        <f>IF('ปฏิทิน'!BL1="","",DAY('ปฏิทิน'!BL1))</f>
        <v/>
      </c>
      <c r="BM6" s="593">
        <f>IF('ปฏิทิน'!BM1="","",DAY('ปฏิทิน'!BM1))</f>
        <v/>
      </c>
      <c r="BN6" s="593">
        <f>IF('ปฏิทิน'!BN1="","",DAY('ปฏิทิน'!BN1))</f>
        <v/>
      </c>
      <c r="BO6" s="593">
        <f>IF('ปฏิทิน'!BO1="","",DAY('ปฏิทิน'!BO1))</f>
        <v/>
      </c>
      <c r="BP6" s="593">
        <f>IF('ปฏิทิน'!BP1="","",DAY('ปฏิทิน'!BP1))</f>
        <v/>
      </c>
      <c r="BQ6" s="597" t="inlineStr">
        <is>
          <t>ทำ</t>
        </is>
      </c>
      <c r="BR6" s="598" t="inlineStr">
        <is>
          <t>ไม่
ทำ</t>
        </is>
      </c>
      <c r="BS6" s="599" t="inlineStr">
        <is>
          <t>ร้อยละ</t>
        </is>
      </c>
      <c r="BT6" s="596">
        <f>IF('ปฏิทิน'!BT1="","",DAY('ปฏิทิน'!BT1))</f>
        <v/>
      </c>
      <c r="BU6" s="593">
        <f>IF('ปฏิทิน'!BU1="","",DAY('ปฏิทิน'!BU1))</f>
        <v/>
      </c>
      <c r="BV6" s="593">
        <f>IF('ปฏิทิน'!BV1="","",DAY('ปฏิทิน'!BV1))</f>
        <v/>
      </c>
      <c r="BW6" s="593">
        <f>IF('ปฏิทิน'!BW1="","",DAY('ปฏิทิน'!BW1))</f>
        <v/>
      </c>
      <c r="BX6" s="593">
        <f>IF('ปฏิทิน'!BX1="","",DAY('ปฏิทิน'!BX1))</f>
        <v/>
      </c>
      <c r="BY6" s="593">
        <f>IF('ปฏิทิน'!BY1="","",DAY('ปฏิทิน'!BY1))</f>
        <v/>
      </c>
      <c r="BZ6" s="593">
        <f>IF('ปฏิทิน'!BZ1="","",DAY('ปฏิทิน'!BZ1))</f>
        <v/>
      </c>
      <c r="CA6" s="593">
        <f>IF('ปฏิทิน'!CA1="","",DAY('ปฏิทิน'!CA1))</f>
        <v/>
      </c>
      <c r="CB6" s="593">
        <f>IF('ปฏิทิน'!CB1="","",DAY('ปฏิทิน'!CB1))</f>
        <v/>
      </c>
      <c r="CC6" s="593">
        <f>IF('ปฏิทิน'!CC1="","",DAY('ปฏิทิน'!CC1))</f>
        <v/>
      </c>
      <c r="CD6" s="593">
        <f>IF('ปฏิทิน'!CD1="","",DAY('ปฏิทิน'!CD1))</f>
        <v/>
      </c>
      <c r="CE6" s="593">
        <f>IF('ปฏิทิน'!CE1="","",DAY('ปฏิทิน'!CE1))</f>
        <v/>
      </c>
      <c r="CF6" s="593">
        <f>IF('ปฏิทิน'!CF1="","",DAY('ปฏิทิน'!CF1))</f>
        <v/>
      </c>
      <c r="CG6" s="593">
        <f>IF('ปฏิทิน'!CG1="","",DAY('ปฏิทิน'!CG1))</f>
        <v/>
      </c>
      <c r="CH6" s="593">
        <f>IF('ปฏิทิน'!CH1="","",DAY('ปฏิทิน'!CH1))</f>
        <v/>
      </c>
      <c r="CI6" s="593">
        <f>IF('ปฏิทิน'!CI1="","",DAY('ปฏิทิน'!CI1))</f>
        <v/>
      </c>
      <c r="CJ6" s="593">
        <f>IF('ปฏิทิน'!CJ1="","",DAY('ปฏิทิน'!CJ1))</f>
        <v/>
      </c>
      <c r="CK6" s="593">
        <f>IF('ปฏิทิน'!CK1="","",DAY('ปฏิทิน'!CK1))</f>
        <v/>
      </c>
      <c r="CL6" s="593">
        <f>IF('ปฏิทิน'!CL1="","",DAY('ปฏิทิน'!CL1))</f>
        <v/>
      </c>
      <c r="CM6" s="593">
        <f>IF('ปฏิทิน'!CM1="","",DAY('ปฏิทิน'!CM1))</f>
        <v/>
      </c>
      <c r="CN6" s="593">
        <f>IF('ปฏิทิน'!CN1="","",DAY('ปฏิทิน'!CN1))</f>
        <v/>
      </c>
      <c r="CO6" s="593">
        <f>IF('ปฏิทิน'!CO1="","",DAY('ปฏิทิน'!CO1))</f>
        <v/>
      </c>
      <c r="CP6" s="593">
        <f>IF('ปฏิทิน'!CP1="","",DAY('ปฏิทิน'!CP1))</f>
        <v/>
      </c>
      <c r="CQ6" s="593">
        <f>IF('ปฏิทิน'!CQ1="","",DAY('ปฏิทิน'!CQ1))</f>
        <v/>
      </c>
      <c r="CR6" s="593">
        <f>IF('ปฏิทิน'!CR1="","",DAY('ปฏิทิน'!CR1))</f>
        <v/>
      </c>
      <c r="CS6" s="593">
        <f>IF('ปฏิทิน'!CS1="","",DAY('ปฏิทิน'!CS1))</f>
        <v/>
      </c>
      <c r="CT6" s="593">
        <f>IF('ปฏิทิน'!CT1="","",DAY('ปฏิทิน'!CT1))</f>
        <v/>
      </c>
      <c r="CU6" s="593">
        <f>IF('ปฏิทิน'!CU1="","",DAY('ปฏิทิน'!CU1))</f>
        <v/>
      </c>
      <c r="CV6" s="593">
        <f>IF('ปฏิทิน'!CV1="","",DAY('ปฏิทิน'!CV1))</f>
        <v/>
      </c>
      <c r="CW6" s="593">
        <f>IF('ปฏิทิน'!CW1="","",DAY('ปฏิทิน'!CW1))</f>
        <v/>
      </c>
      <c r="CX6" s="593">
        <f>IF('ปฏิทิน'!CX1="","",DAY('ปฏิทิน'!CX1))</f>
        <v/>
      </c>
      <c r="CY6" s="597" t="inlineStr">
        <is>
          <t>ทำ</t>
        </is>
      </c>
      <c r="CZ6" s="598" t="inlineStr">
        <is>
          <t>ไม่
ทำ</t>
        </is>
      </c>
      <c r="DA6" s="599" t="inlineStr">
        <is>
          <t>ร้อยละ</t>
        </is>
      </c>
      <c r="DB6" s="596">
        <f>IF('ปฏิทิน'!DB1="","",DAY('ปฏิทิน'!DB1))</f>
        <v/>
      </c>
      <c r="DC6" s="593">
        <f>IF('ปฏิทิน'!DC1="","",DAY('ปฏิทิน'!DC1))</f>
        <v/>
      </c>
      <c r="DD6" s="593">
        <f>IF('ปฏิทิน'!DD1="","",DAY('ปฏิทิน'!DD1))</f>
        <v/>
      </c>
      <c r="DE6" s="593">
        <f>IF('ปฏิทิน'!DE1="","",DAY('ปฏิทิน'!DE1))</f>
        <v/>
      </c>
      <c r="DF6" s="593">
        <f>IF('ปฏิทิน'!DF1="","",DAY('ปฏิทิน'!DF1))</f>
        <v/>
      </c>
      <c r="DG6" s="593">
        <f>IF('ปฏิทิน'!DG1="","",DAY('ปฏิทิน'!DG1))</f>
        <v/>
      </c>
      <c r="DH6" s="593">
        <f>IF('ปฏิทิน'!DH1="","",DAY('ปฏิทิน'!DH1))</f>
        <v/>
      </c>
      <c r="DI6" s="593">
        <f>IF('ปฏิทิน'!DI1="","",DAY('ปฏิทิน'!DI1))</f>
        <v/>
      </c>
      <c r="DJ6" s="593">
        <f>IF('ปฏิทิน'!DJ1="","",DAY('ปฏิทิน'!DJ1))</f>
        <v/>
      </c>
      <c r="DK6" s="593">
        <f>IF('ปฏิทิน'!DK1="","",DAY('ปฏิทิน'!DK1))</f>
        <v/>
      </c>
      <c r="DL6" s="593">
        <f>IF('ปฏิทิน'!DL1="","",DAY('ปฏิทิน'!DL1))</f>
        <v/>
      </c>
      <c r="DM6" s="593">
        <f>IF('ปฏิทิน'!DM1="","",DAY('ปฏิทิน'!DM1))</f>
        <v/>
      </c>
      <c r="DN6" s="593">
        <f>IF('ปฏิทิน'!DN1="","",DAY('ปฏิทิน'!DN1))</f>
        <v/>
      </c>
      <c r="DO6" s="593">
        <f>IF('ปฏิทิน'!DO1="","",DAY('ปฏิทิน'!DO1))</f>
        <v/>
      </c>
      <c r="DP6" s="593">
        <f>IF('ปฏิทิน'!DP1="","",DAY('ปฏิทิน'!DP1))</f>
        <v/>
      </c>
      <c r="DQ6" s="593">
        <f>IF('ปฏิทิน'!DQ1="","",DAY('ปฏิทิน'!DQ1))</f>
        <v/>
      </c>
      <c r="DR6" s="593">
        <f>IF('ปฏิทิน'!DR1="","",DAY('ปฏิทิน'!DR1))</f>
        <v/>
      </c>
      <c r="DS6" s="593">
        <f>IF('ปฏิทิน'!DS1="","",DAY('ปฏิทิน'!DS1))</f>
        <v/>
      </c>
      <c r="DT6" s="593">
        <f>IF('ปฏิทิน'!DT1="","",DAY('ปฏิทิน'!DT1))</f>
        <v/>
      </c>
      <c r="DU6" s="593">
        <f>IF('ปฏิทิน'!DU1="","",DAY('ปฏิทิน'!DU1))</f>
        <v/>
      </c>
      <c r="DV6" s="593">
        <f>IF('ปฏิทิน'!DV1="","",DAY('ปฏิทิน'!DV1))</f>
        <v/>
      </c>
      <c r="DW6" s="593">
        <f>IF('ปฏิทิน'!DW1="","",DAY('ปฏิทิน'!DW1))</f>
        <v/>
      </c>
      <c r="DX6" s="593">
        <f>IF('ปฏิทิน'!DX1="","",DAY('ปฏิทิน'!DX1))</f>
        <v/>
      </c>
      <c r="DY6" s="593">
        <f>IF('ปฏิทิน'!DY1="","",DAY('ปฏิทิน'!DY1))</f>
        <v/>
      </c>
      <c r="DZ6" s="593">
        <f>IF('ปฏิทิน'!DZ1="","",DAY('ปฏิทิน'!DZ1))</f>
        <v/>
      </c>
      <c r="EA6" s="593">
        <f>IF('ปฏิทิน'!EA1="","",DAY('ปฏิทิน'!EA1))</f>
        <v/>
      </c>
      <c r="EB6" s="593">
        <f>IF('ปฏิทิน'!EB1="","",DAY('ปฏิทิน'!EB1))</f>
        <v/>
      </c>
      <c r="EC6" s="593">
        <f>IF('ปฏิทิน'!EC1="","",DAY('ปฏิทิน'!EC1))</f>
        <v/>
      </c>
      <c r="ED6" s="593">
        <f>IF('ปฏิทิน'!ED1="","",DAY('ปฏิทิน'!ED1))</f>
        <v/>
      </c>
      <c r="EE6" s="593">
        <f>IF('ปฏิทิน'!EE1="","",DAY('ปฏิทิน'!EE1))</f>
        <v/>
      </c>
      <c r="EF6" s="593">
        <f>IF('ปฏิทิน'!EF1="","",DAY('ปฏิทิน'!EF1))</f>
        <v/>
      </c>
      <c r="EG6" s="597" t="inlineStr">
        <is>
          <t>ทำ</t>
        </is>
      </c>
      <c r="EH6" s="598" t="inlineStr">
        <is>
          <t>ไม่
ทำ</t>
        </is>
      </c>
      <c r="EI6" s="599" t="inlineStr">
        <is>
          <t>ร้อยละ</t>
        </is>
      </c>
      <c r="EJ6" s="596">
        <f>IF('ปฏิทิน'!EJ1="","",DAY('ปฏิทิน'!EJ1))</f>
        <v/>
      </c>
      <c r="EK6" s="593">
        <f>IF('ปฏิทิน'!EK1="","",DAY('ปฏิทิน'!EK1))</f>
        <v/>
      </c>
      <c r="EL6" s="593">
        <f>IF('ปฏิทิน'!EL1="","",DAY('ปฏิทิน'!EL1))</f>
        <v/>
      </c>
      <c r="EM6" s="593">
        <f>IF('ปฏิทิน'!EM1="","",DAY('ปฏิทิน'!EM1))</f>
        <v/>
      </c>
      <c r="EN6" s="593">
        <f>IF('ปฏิทิน'!EN1="","",DAY('ปฏิทิน'!EN1))</f>
        <v/>
      </c>
      <c r="EO6" s="593">
        <f>IF('ปฏิทิน'!EO1="","",DAY('ปฏิทิน'!EO1))</f>
        <v/>
      </c>
      <c r="EP6" s="593">
        <f>IF('ปฏิทิน'!EP1="","",DAY('ปฏิทิน'!EP1))</f>
        <v/>
      </c>
      <c r="EQ6" s="593">
        <f>IF('ปฏิทิน'!EQ1="","",DAY('ปฏิทิน'!EQ1))</f>
        <v/>
      </c>
      <c r="ER6" s="593">
        <f>IF('ปฏิทิน'!ER1="","",DAY('ปฏิทิน'!ER1))</f>
        <v/>
      </c>
      <c r="ES6" s="593">
        <f>IF('ปฏิทิน'!ES1="","",DAY('ปฏิทิน'!ES1))</f>
        <v/>
      </c>
      <c r="ET6" s="593">
        <f>IF('ปฏิทิน'!ET1="","",DAY('ปฏิทิน'!ET1))</f>
        <v/>
      </c>
      <c r="EU6" s="593">
        <f>IF('ปฏิทิน'!EU1="","",DAY('ปฏิทิน'!EU1))</f>
        <v/>
      </c>
      <c r="EV6" s="593">
        <f>IF('ปฏิทิน'!EV1="","",DAY('ปฏิทิน'!EV1))</f>
        <v/>
      </c>
      <c r="EW6" s="593">
        <f>IF('ปฏิทิน'!EW1="","",DAY('ปฏิทิน'!EW1))</f>
        <v/>
      </c>
      <c r="EX6" s="593">
        <f>IF('ปฏิทิน'!EX1="","",DAY('ปฏิทิน'!EX1))</f>
        <v/>
      </c>
      <c r="EY6" s="593">
        <f>IF('ปฏิทิน'!EY1="","",DAY('ปฏิทิน'!EY1))</f>
        <v/>
      </c>
      <c r="EZ6" s="593">
        <f>IF('ปฏิทิน'!EZ1="","",DAY('ปฏิทิน'!EZ1))</f>
        <v/>
      </c>
      <c r="FA6" s="593">
        <f>IF('ปฏิทิน'!FA1="","",DAY('ปฏิทิน'!FA1))</f>
        <v/>
      </c>
      <c r="FB6" s="593">
        <f>IF('ปฏิทิน'!FB1="","",DAY('ปฏิทิน'!FB1))</f>
        <v/>
      </c>
      <c r="FC6" s="593">
        <f>IF('ปฏิทิน'!FC1="","",DAY('ปฏิทิน'!FC1))</f>
        <v/>
      </c>
      <c r="FD6" s="593">
        <f>IF('ปฏิทิน'!FD1="","",DAY('ปฏิทิน'!FD1))</f>
        <v/>
      </c>
      <c r="FE6" s="593">
        <f>IF('ปฏิทิน'!FE1="","",DAY('ปฏิทิน'!FE1))</f>
        <v/>
      </c>
      <c r="FF6" s="593">
        <f>IF('ปฏิทิน'!FF1="","",DAY('ปฏิทิน'!FF1))</f>
        <v/>
      </c>
      <c r="FG6" s="593">
        <f>IF('ปฏิทิน'!FG1="","",DAY('ปฏิทิน'!FG1))</f>
        <v/>
      </c>
      <c r="FH6" s="593">
        <f>IF('ปฏิทิน'!FH1="","",DAY('ปฏิทิน'!FH1))</f>
        <v/>
      </c>
      <c r="FI6" s="593">
        <f>IF('ปฏิทิน'!FI1="","",DAY('ปฏิทิน'!FI1))</f>
        <v/>
      </c>
      <c r="FJ6" s="593">
        <f>IF('ปฏิทิน'!FJ1="","",DAY('ปฏิทิน'!FJ1))</f>
        <v/>
      </c>
      <c r="FK6" s="593">
        <f>IF('ปฏิทิน'!FK1="","",DAY('ปฏิทิน'!FK1))</f>
        <v/>
      </c>
      <c r="FL6" s="593">
        <f>IF('ปฏิทิน'!FL1="","",DAY('ปฏิทิน'!FL1))</f>
        <v/>
      </c>
      <c r="FM6" s="593">
        <f>IF('ปฏิทิน'!FM1="","",DAY('ปฏิทิน'!FM1))</f>
        <v/>
      </c>
      <c r="FN6" s="593">
        <f>IF('ปฏิทิน'!FN1="","",DAY('ปฏิทิน'!FN1))</f>
        <v/>
      </c>
      <c r="FO6" s="597" t="inlineStr">
        <is>
          <t>ทำ</t>
        </is>
      </c>
      <c r="FP6" s="598" t="inlineStr">
        <is>
          <t>ไม่
ทำ</t>
        </is>
      </c>
      <c r="FQ6" s="599" t="inlineStr">
        <is>
          <t>ร้อยละ</t>
        </is>
      </c>
      <c r="FR6" s="596">
        <f>IF('ปฏิทิน'!FR1="","",DAY('ปฏิทิน'!FR1))</f>
        <v/>
      </c>
      <c r="FS6" s="593">
        <f>IF('ปฏิทิน'!FS1="","",DAY('ปฏิทิน'!FS1))</f>
        <v/>
      </c>
      <c r="FT6" s="593">
        <f>IF('ปฏิทิน'!FT1="","",DAY('ปฏิทิน'!FT1))</f>
        <v/>
      </c>
      <c r="FU6" s="593">
        <f>IF('ปฏิทิน'!FU1="","",DAY('ปฏิทิน'!FU1))</f>
        <v/>
      </c>
      <c r="FV6" s="593">
        <f>IF('ปฏิทิน'!FV1="","",DAY('ปฏิทิน'!FV1))</f>
        <v/>
      </c>
      <c r="FW6" s="593">
        <f>IF('ปฏิทิน'!FW1="","",DAY('ปฏิทิน'!FW1))</f>
        <v/>
      </c>
      <c r="FX6" s="593">
        <f>IF('ปฏิทิน'!FX1="","",DAY('ปฏิทิน'!FX1))</f>
        <v/>
      </c>
      <c r="FY6" s="593">
        <f>IF('ปฏิทิน'!FY1="","",DAY('ปฏิทิน'!FY1))</f>
        <v/>
      </c>
      <c r="FZ6" s="593">
        <f>IF('ปฏิทิน'!FZ1="","",DAY('ปฏิทิน'!FZ1))</f>
        <v/>
      </c>
      <c r="GA6" s="593">
        <f>IF('ปฏิทิน'!GA1="","",DAY('ปฏิทิน'!GA1))</f>
        <v/>
      </c>
      <c r="GB6" s="593">
        <f>IF('ปฏิทิน'!GB1="","",DAY('ปฏิทิน'!GB1))</f>
        <v/>
      </c>
      <c r="GC6" s="593">
        <f>IF('ปฏิทิน'!GC1="","",DAY('ปฏิทิน'!GC1))</f>
        <v/>
      </c>
      <c r="GD6" s="593">
        <f>IF('ปฏิทิน'!GD1="","",DAY('ปฏิทิน'!GD1))</f>
        <v/>
      </c>
      <c r="GE6" s="593">
        <f>IF('ปฏิทิน'!GE1="","",DAY('ปฏิทิน'!GE1))</f>
        <v/>
      </c>
      <c r="GF6" s="593">
        <f>IF('ปฏิทิน'!GF1="","",DAY('ปฏิทิน'!GF1))</f>
        <v/>
      </c>
      <c r="GG6" s="593">
        <f>IF('ปฏิทิน'!GG1="","",DAY('ปฏิทิน'!GG1))</f>
        <v/>
      </c>
      <c r="GH6" s="593">
        <f>IF('ปฏิทิน'!GH1="","",DAY('ปฏิทิน'!GH1))</f>
        <v/>
      </c>
      <c r="GI6" s="593">
        <f>IF('ปฏิทิน'!GI1="","",DAY('ปฏิทิน'!GI1))</f>
        <v/>
      </c>
      <c r="GJ6" s="593">
        <f>IF('ปฏิทิน'!GJ1="","",DAY('ปฏิทิน'!GJ1))</f>
        <v/>
      </c>
      <c r="GK6" s="593">
        <f>IF('ปฏิทิน'!GK1="","",DAY('ปฏิทิน'!GK1))</f>
        <v/>
      </c>
      <c r="GL6" s="593">
        <f>IF('ปฏิทิน'!GL1="","",DAY('ปฏิทิน'!GL1))</f>
        <v/>
      </c>
      <c r="GM6" s="593">
        <f>IF('ปฏิทิน'!GM1="","",DAY('ปฏิทิน'!GM1))</f>
        <v/>
      </c>
      <c r="GN6" s="593">
        <f>IF('ปฏิทิน'!GN1="","",DAY('ปฏิทิน'!GN1))</f>
        <v/>
      </c>
      <c r="GO6" s="593">
        <f>IF('ปฏิทิน'!GO1="","",DAY('ปฏิทิน'!GO1))</f>
        <v/>
      </c>
      <c r="GP6" s="593">
        <f>IF('ปฏิทิน'!GP1="","",DAY('ปฏิทิน'!GP1))</f>
        <v/>
      </c>
      <c r="GQ6" s="593">
        <f>IF('ปฏิทิน'!GQ1="","",DAY('ปฏิทิน'!GQ1))</f>
        <v/>
      </c>
      <c r="GR6" s="593">
        <f>IF('ปฏิทิน'!GR1="","",DAY('ปฏิทิน'!GR1))</f>
        <v/>
      </c>
      <c r="GS6" s="593">
        <f>IF('ปฏิทิน'!GS1="","",DAY('ปฏิทิน'!GS1))</f>
        <v/>
      </c>
      <c r="GT6" s="593">
        <f>IF('ปฏิทิน'!GT1="","",DAY('ปฏิทิน'!GT1))</f>
        <v/>
      </c>
      <c r="GU6" s="593">
        <f>IF('ปฏิทิน'!GU1="","",DAY('ปฏิทิน'!GU1))</f>
        <v/>
      </c>
      <c r="GV6" s="593">
        <f>IF('ปฏิทิน'!GV1="","",DAY('ปฏิทิน'!GV1))</f>
        <v/>
      </c>
      <c r="GW6" s="597" t="inlineStr">
        <is>
          <t>ทำ</t>
        </is>
      </c>
      <c r="GX6" s="598" t="inlineStr">
        <is>
          <t>ไม่
ทำ</t>
        </is>
      </c>
      <c r="GY6" s="599" t="inlineStr">
        <is>
          <t>ร้อยละ</t>
        </is>
      </c>
    </row>
    <row r="7">
      <c r="D7" s="600">
        <f>IF('ปฏิทิน'!D1="","",CHOOSE(WEEKDAY('ปฏิทิน'!D1,2),"จ.","อ.","พ.","พฤ.","ศ.","ส.","อา."))</f>
        <v/>
      </c>
      <c r="E7" s="601">
        <f>IF('ปฏิทิน'!E1="","",CHOOSE(WEEKDAY('ปฏิทิน'!E1,2),"จ.","อ.","พ.","พฤ.","ศ.","ส.","อา."))</f>
        <v/>
      </c>
      <c r="F7" s="601">
        <f>IF('ปฏิทิน'!F1="","",CHOOSE(WEEKDAY('ปฏิทิน'!F1,2),"จ.","อ.","พ.","พฤ.","ศ.","ส.","อา."))</f>
        <v/>
      </c>
      <c r="G7" s="601">
        <f>IF('ปฏิทิน'!G1="","",CHOOSE(WEEKDAY('ปฏิทิน'!G1,2),"จ.","อ.","พ.","พฤ.","ศ.","ส.","อา."))</f>
        <v/>
      </c>
      <c r="H7" s="601">
        <f>IF('ปฏิทิน'!H1="","",CHOOSE(WEEKDAY('ปฏิทิน'!H1,2),"จ.","อ.","พ.","พฤ.","ศ.","ส.","อา."))</f>
        <v/>
      </c>
      <c r="I7" s="601">
        <f>IF('ปฏิทิน'!I1="","",CHOOSE(WEEKDAY('ปฏิทิน'!I1,2),"จ.","อ.","พ.","พฤ.","ศ.","ส.","อา."))</f>
        <v/>
      </c>
      <c r="J7" s="601">
        <f>IF('ปฏิทิน'!J1="","",CHOOSE(WEEKDAY('ปฏิทิน'!J1,2),"จ.","อ.","พ.","พฤ.","ศ.","ส.","อา."))</f>
        <v/>
      </c>
      <c r="K7" s="601">
        <f>IF('ปฏิทิน'!K1="","",CHOOSE(WEEKDAY('ปฏิทิน'!K1,2),"จ.","อ.","พ.","พฤ.","ศ.","ส.","อา."))</f>
        <v/>
      </c>
      <c r="L7" s="601">
        <f>IF('ปฏิทิน'!L1="","",CHOOSE(WEEKDAY('ปฏิทิน'!L1,2),"จ.","อ.","พ.","พฤ.","ศ.","ส.","อา."))</f>
        <v/>
      </c>
      <c r="M7" s="601">
        <f>IF('ปฏิทิน'!M1="","",CHOOSE(WEEKDAY('ปฏิทิน'!M1,2),"จ.","อ.","พ.","พฤ.","ศ.","ส.","อา."))</f>
        <v/>
      </c>
      <c r="N7" s="601">
        <f>IF('ปฏิทิน'!N1="","",CHOOSE(WEEKDAY('ปฏิทิน'!N1,2),"จ.","อ.","พ.","พฤ.","ศ.","ส.","อา."))</f>
        <v/>
      </c>
      <c r="O7" s="601">
        <f>IF('ปฏิทิน'!O1="","",CHOOSE(WEEKDAY('ปฏิทิน'!O1,2),"จ.","อ.","พ.","พฤ.","ศ.","ส.","อา."))</f>
        <v/>
      </c>
      <c r="P7" s="601">
        <f>IF('ปฏิทิน'!P1="","",CHOOSE(WEEKDAY('ปฏิทิน'!P1,2),"จ.","อ.","พ.","พฤ.","ศ.","ส.","อา."))</f>
        <v/>
      </c>
      <c r="Q7" s="601">
        <f>IF('ปฏิทิน'!Q1="","",CHOOSE(WEEKDAY('ปฏิทิน'!Q1,2),"จ.","อ.","พ.","พฤ.","ศ.","ส.","อา."))</f>
        <v/>
      </c>
      <c r="R7" s="601">
        <f>IF('ปฏิทิน'!R1="","",CHOOSE(WEEKDAY('ปฏิทิน'!R1,2),"จ.","อ.","พ.","พฤ.","ศ.","ส.","อา."))</f>
        <v/>
      </c>
      <c r="S7" s="601">
        <f>IF('ปฏิทิน'!S1="","",CHOOSE(WEEKDAY('ปฏิทิน'!S1,2),"จ.","อ.","พ.","พฤ.","ศ.","ส.","อา."))</f>
        <v/>
      </c>
      <c r="T7" s="601">
        <f>IF('ปฏิทิน'!T1="","",CHOOSE(WEEKDAY('ปฏิทิน'!T1,2),"จ.","อ.","พ.","พฤ.","ศ.","ส.","อา."))</f>
        <v/>
      </c>
      <c r="U7" s="601">
        <f>IF('ปฏิทิน'!U1="","",CHOOSE(WEEKDAY('ปฏิทิน'!U1,2),"จ.","อ.","พ.","พฤ.","ศ.","ส.","อา."))</f>
        <v/>
      </c>
      <c r="V7" s="601">
        <f>IF('ปฏิทิน'!V1="","",CHOOSE(WEEKDAY('ปฏิทิน'!V1,2),"จ.","อ.","พ.","พฤ.","ศ.","ส.","อา."))</f>
        <v/>
      </c>
      <c r="W7" s="601">
        <f>IF('ปฏิทิน'!W1="","",CHOOSE(WEEKDAY('ปฏิทิน'!W1,2),"จ.","อ.","พ.","พฤ.","ศ.","ส.","อา."))</f>
        <v/>
      </c>
      <c r="X7" s="601">
        <f>IF('ปฏิทิน'!X1="","",CHOOSE(WEEKDAY('ปฏิทิน'!X1,2),"จ.","อ.","พ.","พฤ.","ศ.","ส.","อา."))</f>
        <v/>
      </c>
      <c r="Y7" s="601">
        <f>IF('ปฏิทิน'!Y1="","",CHOOSE(WEEKDAY('ปฏิทิน'!Y1,2),"จ.","อ.","พ.","พฤ.","ศ.","ส.","อา."))</f>
        <v/>
      </c>
      <c r="Z7" s="601">
        <f>IF('ปฏิทิน'!Z1="","",CHOOSE(WEEKDAY('ปฏิทิน'!Z1,2),"จ.","อ.","พ.","พฤ.","ศ.","ส.","อา."))</f>
        <v/>
      </c>
      <c r="AA7" s="601">
        <f>IF('ปฏิทิน'!AA1="","",CHOOSE(WEEKDAY('ปฏิทิน'!AA1,2),"จ.","อ.","พ.","พฤ.","ศ.","ส.","อา."))</f>
        <v/>
      </c>
      <c r="AB7" s="601">
        <f>IF('ปฏิทิน'!AB1="","",CHOOSE(WEEKDAY('ปฏิทิน'!AB1,2),"จ.","อ.","พ.","พฤ.","ศ.","ส.","อา."))</f>
        <v/>
      </c>
      <c r="AC7" s="601">
        <f>IF('ปฏิทิน'!AC1="","",CHOOSE(WEEKDAY('ปฏิทิน'!AC1,2),"จ.","อ.","พ.","พฤ.","ศ.","ส.","อา."))</f>
        <v/>
      </c>
      <c r="AD7" s="601">
        <f>IF('ปฏิทิน'!AD1="","",CHOOSE(WEEKDAY('ปฏิทิน'!AD1,2),"จ.","อ.","พ.","พฤ.","ศ.","ส.","อา."))</f>
        <v/>
      </c>
      <c r="AE7" s="601">
        <f>IF('ปฏิทิน'!AE1="","",CHOOSE(WEEKDAY('ปฏิทิน'!AE1,2),"จ.","อ.","พ.","พฤ.","ศ.","ส.","อา."))</f>
        <v/>
      </c>
      <c r="AF7" s="601">
        <f>IF('ปฏิทิน'!AF1="","",CHOOSE(WEEKDAY('ปฏิทิน'!AF1,2),"จ.","อ.","พ.","พฤ.","ศ.","ส.","อา."))</f>
        <v/>
      </c>
      <c r="AG7" s="601">
        <f>IF('ปฏิทิน'!AG1="","",CHOOSE(WEEKDAY('ปฏิทิน'!AG1,2),"จ.","อ.","พ.","พฤ.","ศ.","ส.","อา."))</f>
        <v/>
      </c>
      <c r="AH7" s="601">
        <f>IF('ปฏิทิน'!AH1="","",CHOOSE(WEEKDAY('ปฏิทิน'!AH1,2),"จ.","อ.","พ.","พฤ.","ศ.","ส.","อา."))</f>
        <v/>
      </c>
      <c r="AI7" s="602" t="n"/>
      <c r="AL7" s="600">
        <f>IF('ปฏิทิน'!AL1="","",CHOOSE(WEEKDAY('ปฏิทิน'!AL1,2),"จ.","อ.","พ.","พฤ.","ศ.","ส.","อา."))</f>
        <v/>
      </c>
      <c r="AM7" s="601">
        <f>IF('ปฏิทิน'!AM1="","",CHOOSE(WEEKDAY('ปฏิทิน'!AM1,2),"จ.","อ.","พ.","พฤ.","ศ.","ส.","อา."))</f>
        <v/>
      </c>
      <c r="AN7" s="601">
        <f>IF('ปฏิทิน'!AN1="","",CHOOSE(WEEKDAY('ปฏิทิน'!AN1,2),"จ.","อ.","พ.","พฤ.","ศ.","ส.","อา."))</f>
        <v/>
      </c>
      <c r="AO7" s="601">
        <f>IF('ปฏิทิน'!AO1="","",CHOOSE(WEEKDAY('ปฏิทิน'!AO1,2),"จ.","อ.","พ.","พฤ.","ศ.","ส.","อา."))</f>
        <v/>
      </c>
      <c r="AP7" s="601">
        <f>IF('ปฏิทิน'!AP1="","",CHOOSE(WEEKDAY('ปฏิทิน'!AP1,2),"จ.","อ.","พ.","พฤ.","ศ.","ส.","อา."))</f>
        <v/>
      </c>
      <c r="AQ7" s="601">
        <f>IF('ปฏิทิน'!AQ1="","",CHOOSE(WEEKDAY('ปฏิทิน'!AQ1,2),"จ.","อ.","พ.","พฤ.","ศ.","ส.","อา."))</f>
        <v/>
      </c>
      <c r="AR7" s="601">
        <f>IF('ปฏิทิน'!AR1="","",CHOOSE(WEEKDAY('ปฏิทิน'!AR1,2),"จ.","อ.","พ.","พฤ.","ศ.","ส.","อา."))</f>
        <v/>
      </c>
      <c r="AS7" s="601">
        <f>IF('ปฏิทิน'!AS1="","",CHOOSE(WEEKDAY('ปฏิทิน'!AS1,2),"จ.","อ.","พ.","พฤ.","ศ.","ส.","อา."))</f>
        <v/>
      </c>
      <c r="AT7" s="601">
        <f>IF('ปฏิทิน'!AT1="","",CHOOSE(WEEKDAY('ปฏิทิน'!AT1,2),"จ.","อ.","พ.","พฤ.","ศ.","ส.","อา."))</f>
        <v/>
      </c>
      <c r="AU7" s="601">
        <f>IF('ปฏิทิน'!AU1="","",CHOOSE(WEEKDAY('ปฏิทิน'!AU1,2),"จ.","อ.","พ.","พฤ.","ศ.","ส.","อา."))</f>
        <v/>
      </c>
      <c r="AV7" s="601">
        <f>IF('ปฏิทิน'!AV1="","",CHOOSE(WEEKDAY('ปฏิทิน'!AV1,2),"จ.","อ.","พ.","พฤ.","ศ.","ส.","อา."))</f>
        <v/>
      </c>
      <c r="AW7" s="601">
        <f>IF('ปฏิทิน'!AW1="","",CHOOSE(WEEKDAY('ปฏิทิน'!AW1,2),"จ.","อ.","พ.","พฤ.","ศ.","ส.","อา."))</f>
        <v/>
      </c>
      <c r="AX7" s="601">
        <f>IF('ปฏิทิน'!AX1="","",CHOOSE(WEEKDAY('ปฏิทิน'!AX1,2),"จ.","อ.","พ.","พฤ.","ศ.","ส.","อา."))</f>
        <v/>
      </c>
      <c r="AY7" s="601">
        <f>IF('ปฏิทิน'!AY1="","",CHOOSE(WEEKDAY('ปฏิทิน'!AY1,2),"จ.","อ.","พ.","พฤ.","ศ.","ส.","อา."))</f>
        <v/>
      </c>
      <c r="AZ7" s="601">
        <f>IF('ปฏิทิน'!AZ1="","",CHOOSE(WEEKDAY('ปฏิทิน'!AZ1,2),"จ.","อ.","พ.","พฤ.","ศ.","ส.","อา."))</f>
        <v/>
      </c>
      <c r="BA7" s="601">
        <f>IF('ปฏิทิน'!BA1="","",CHOOSE(WEEKDAY('ปฏิทิน'!BA1,2),"จ.","อ.","พ.","พฤ.","ศ.","ส.","อา."))</f>
        <v/>
      </c>
      <c r="BB7" s="601">
        <f>IF('ปฏิทิน'!BB1="","",CHOOSE(WEEKDAY('ปฏิทิน'!BB1,2),"จ.","อ.","พ.","พฤ.","ศ.","ส.","อา."))</f>
        <v/>
      </c>
      <c r="BC7" s="601">
        <f>IF('ปฏิทิน'!BC1="","",CHOOSE(WEEKDAY('ปฏิทิน'!BC1,2),"จ.","อ.","พ.","พฤ.","ศ.","ส.","อา."))</f>
        <v/>
      </c>
      <c r="BD7" s="601">
        <f>IF('ปฏิทิน'!BD1="","",CHOOSE(WEEKDAY('ปฏิทิน'!BD1,2),"จ.","อ.","พ.","พฤ.","ศ.","ส.","อา."))</f>
        <v/>
      </c>
      <c r="BE7" s="601">
        <f>IF('ปฏิทิน'!BE1="","",CHOOSE(WEEKDAY('ปฏิทิน'!BE1,2),"จ.","อ.","พ.","พฤ.","ศ.","ส.","อา."))</f>
        <v/>
      </c>
      <c r="BF7" s="601">
        <f>IF('ปฏิทิน'!BF1="","",CHOOSE(WEEKDAY('ปฏิทิน'!BF1,2),"จ.","อ.","พ.","พฤ.","ศ.","ส.","อา."))</f>
        <v/>
      </c>
      <c r="BG7" s="601">
        <f>IF('ปฏิทิน'!BG1="","",CHOOSE(WEEKDAY('ปฏิทิน'!BG1,2),"จ.","อ.","พ.","พฤ.","ศ.","ส.","อา."))</f>
        <v/>
      </c>
      <c r="BH7" s="601">
        <f>IF('ปฏิทิน'!BH1="","",CHOOSE(WEEKDAY('ปฏิทิน'!BH1,2),"จ.","อ.","พ.","พฤ.","ศ.","ส.","อา."))</f>
        <v/>
      </c>
      <c r="BI7" s="601">
        <f>IF('ปฏิทิน'!BI1="","",CHOOSE(WEEKDAY('ปฏิทิน'!BI1,2),"จ.","อ.","พ.","พฤ.","ศ.","ส.","อา."))</f>
        <v/>
      </c>
      <c r="BJ7" s="601">
        <f>IF('ปฏิทิน'!BJ1="","",CHOOSE(WEEKDAY('ปฏิทิน'!BJ1,2),"จ.","อ.","พ.","พฤ.","ศ.","ส.","อา."))</f>
        <v/>
      </c>
      <c r="BK7" s="601">
        <f>IF('ปฏิทิน'!BK1="","",CHOOSE(WEEKDAY('ปฏิทิน'!BK1,2),"จ.","อ.","พ.","พฤ.","ศ.","ส.","อา."))</f>
        <v/>
      </c>
      <c r="BL7" s="601">
        <f>IF('ปฏิทิน'!BL1="","",CHOOSE(WEEKDAY('ปฏิทิน'!BL1,2),"จ.","อ.","พ.","พฤ.","ศ.","ส.","อา."))</f>
        <v/>
      </c>
      <c r="BM7" s="601">
        <f>IF('ปฏิทิน'!BM1="","",CHOOSE(WEEKDAY('ปฏิทิน'!BM1,2),"จ.","อ.","พ.","พฤ.","ศ.","ส.","อา."))</f>
        <v/>
      </c>
      <c r="BN7" s="601">
        <f>IF('ปฏิทิน'!BN1="","",CHOOSE(WEEKDAY('ปฏิทิน'!BN1,2),"จ.","อ.","พ.","พฤ.","ศ.","ส.","อา."))</f>
        <v/>
      </c>
      <c r="BO7" s="601">
        <f>IF('ปฏิทิน'!BO1="","",CHOOSE(WEEKDAY('ปฏิทิน'!BO1,2),"จ.","อ.","พ.","พฤ.","ศ.","ส.","อา."))</f>
        <v/>
      </c>
      <c r="BP7" s="601">
        <f>IF('ปฏิทิน'!BP1="","",CHOOSE(WEEKDAY('ปฏิทิน'!BP1,2),"จ.","อ.","พ.","พฤ.","ศ.","ส.","อา."))</f>
        <v/>
      </c>
      <c r="BQ7" s="602" t="n"/>
      <c r="BT7" s="600">
        <f>IF('ปฏิทิน'!BT1="","",CHOOSE(WEEKDAY('ปฏิทิน'!BT1,2),"จ.","อ.","พ.","พฤ.","ศ.","ส.","อา."))</f>
        <v/>
      </c>
      <c r="BU7" s="601">
        <f>IF('ปฏิทิน'!BU1="","",CHOOSE(WEEKDAY('ปฏิทิน'!BU1,2),"จ.","อ.","พ.","พฤ.","ศ.","ส.","อา."))</f>
        <v/>
      </c>
      <c r="BV7" s="601">
        <f>IF('ปฏิทิน'!BV1="","",CHOOSE(WEEKDAY('ปฏิทิน'!BV1,2),"จ.","อ.","พ.","พฤ.","ศ.","ส.","อา."))</f>
        <v/>
      </c>
      <c r="BW7" s="601">
        <f>IF('ปฏิทิน'!BW1="","",CHOOSE(WEEKDAY('ปฏิทิน'!BW1,2),"จ.","อ.","พ.","พฤ.","ศ.","ส.","อา."))</f>
        <v/>
      </c>
      <c r="BX7" s="601">
        <f>IF('ปฏิทิน'!BX1="","",CHOOSE(WEEKDAY('ปฏิทิน'!BX1,2),"จ.","อ.","พ.","พฤ.","ศ.","ส.","อา."))</f>
        <v/>
      </c>
      <c r="BY7" s="601">
        <f>IF('ปฏิทิน'!BY1="","",CHOOSE(WEEKDAY('ปฏิทิน'!BY1,2),"จ.","อ.","พ.","พฤ.","ศ.","ส.","อา."))</f>
        <v/>
      </c>
      <c r="BZ7" s="601">
        <f>IF('ปฏิทิน'!BZ1="","",CHOOSE(WEEKDAY('ปฏิทิน'!BZ1,2),"จ.","อ.","พ.","พฤ.","ศ.","ส.","อา."))</f>
        <v/>
      </c>
      <c r="CA7" s="601">
        <f>IF('ปฏิทิน'!CA1="","",CHOOSE(WEEKDAY('ปฏิทิน'!CA1,2),"จ.","อ.","พ.","พฤ.","ศ.","ส.","อา."))</f>
        <v/>
      </c>
      <c r="CB7" s="601">
        <f>IF('ปฏิทิน'!CB1="","",CHOOSE(WEEKDAY('ปฏิทิน'!CB1,2),"จ.","อ.","พ.","พฤ.","ศ.","ส.","อา."))</f>
        <v/>
      </c>
      <c r="CC7" s="601">
        <f>IF('ปฏิทิน'!CC1="","",CHOOSE(WEEKDAY('ปฏิทิน'!CC1,2),"จ.","อ.","พ.","พฤ.","ศ.","ส.","อา."))</f>
        <v/>
      </c>
      <c r="CD7" s="601">
        <f>IF('ปฏิทิน'!CD1="","",CHOOSE(WEEKDAY('ปฏิทิน'!CD1,2),"จ.","อ.","พ.","พฤ.","ศ.","ส.","อา."))</f>
        <v/>
      </c>
      <c r="CE7" s="601">
        <f>IF('ปฏิทิน'!CE1="","",CHOOSE(WEEKDAY('ปฏิทิน'!CE1,2),"จ.","อ.","พ.","พฤ.","ศ.","ส.","อา."))</f>
        <v/>
      </c>
      <c r="CF7" s="601">
        <f>IF('ปฏิทิน'!CF1="","",CHOOSE(WEEKDAY('ปฏิทิน'!CF1,2),"จ.","อ.","พ.","พฤ.","ศ.","ส.","อา."))</f>
        <v/>
      </c>
      <c r="CG7" s="601">
        <f>IF('ปฏิทิน'!CG1="","",CHOOSE(WEEKDAY('ปฏิทิน'!CG1,2),"จ.","อ.","พ.","พฤ.","ศ.","ส.","อา."))</f>
        <v/>
      </c>
      <c r="CH7" s="601">
        <f>IF('ปฏิทิน'!CH1="","",CHOOSE(WEEKDAY('ปฏิทิน'!CH1,2),"จ.","อ.","พ.","พฤ.","ศ.","ส.","อา."))</f>
        <v/>
      </c>
      <c r="CI7" s="601">
        <f>IF('ปฏิทิน'!CI1="","",CHOOSE(WEEKDAY('ปฏิทิน'!CI1,2),"จ.","อ.","พ.","พฤ.","ศ.","ส.","อา."))</f>
        <v/>
      </c>
      <c r="CJ7" s="601">
        <f>IF('ปฏิทิน'!CJ1="","",CHOOSE(WEEKDAY('ปฏิทิน'!CJ1,2),"จ.","อ.","พ.","พฤ.","ศ.","ส.","อา."))</f>
        <v/>
      </c>
      <c r="CK7" s="601">
        <f>IF('ปฏิทิน'!CK1="","",CHOOSE(WEEKDAY('ปฏิทิน'!CK1,2),"จ.","อ.","พ.","พฤ.","ศ.","ส.","อา."))</f>
        <v/>
      </c>
      <c r="CL7" s="601">
        <f>IF('ปฏิทิน'!CL1="","",CHOOSE(WEEKDAY('ปฏิทิน'!CL1,2),"จ.","อ.","พ.","พฤ.","ศ.","ส.","อา."))</f>
        <v/>
      </c>
      <c r="CM7" s="601">
        <f>IF('ปฏิทิน'!CM1="","",CHOOSE(WEEKDAY('ปฏิทิน'!CM1,2),"จ.","อ.","พ.","พฤ.","ศ.","ส.","อา."))</f>
        <v/>
      </c>
      <c r="CN7" s="601">
        <f>IF('ปฏิทิน'!CN1="","",CHOOSE(WEEKDAY('ปฏิทิน'!CN1,2),"จ.","อ.","พ.","พฤ.","ศ.","ส.","อา."))</f>
        <v/>
      </c>
      <c r="CO7" s="601">
        <f>IF('ปฏิทิน'!CO1="","",CHOOSE(WEEKDAY('ปฏิทิน'!CO1,2),"จ.","อ.","พ.","พฤ.","ศ.","ส.","อา."))</f>
        <v/>
      </c>
      <c r="CP7" s="601">
        <f>IF('ปฏิทิน'!CP1="","",CHOOSE(WEEKDAY('ปฏิทิน'!CP1,2),"จ.","อ.","พ.","พฤ.","ศ.","ส.","อา."))</f>
        <v/>
      </c>
      <c r="CQ7" s="601">
        <f>IF('ปฏิทิน'!CQ1="","",CHOOSE(WEEKDAY('ปฏิทิน'!CQ1,2),"จ.","อ.","พ.","พฤ.","ศ.","ส.","อา."))</f>
        <v/>
      </c>
      <c r="CR7" s="601">
        <f>IF('ปฏิทิน'!CR1="","",CHOOSE(WEEKDAY('ปฏิทิน'!CR1,2),"จ.","อ.","พ.","พฤ.","ศ.","ส.","อา."))</f>
        <v/>
      </c>
      <c r="CS7" s="601">
        <f>IF('ปฏิทิน'!CS1="","",CHOOSE(WEEKDAY('ปฏิทิน'!CS1,2),"จ.","อ.","พ.","พฤ.","ศ.","ส.","อา."))</f>
        <v/>
      </c>
      <c r="CT7" s="601">
        <f>IF('ปฏิทิน'!CT1="","",CHOOSE(WEEKDAY('ปฏิทิน'!CT1,2),"จ.","อ.","พ.","พฤ.","ศ.","ส.","อา."))</f>
        <v/>
      </c>
      <c r="CU7" s="601">
        <f>IF('ปฏิทิน'!CU1="","",CHOOSE(WEEKDAY('ปฏิทิน'!CU1,2),"จ.","อ.","พ.","พฤ.","ศ.","ส.","อา."))</f>
        <v/>
      </c>
      <c r="CV7" s="601">
        <f>IF('ปฏิทิน'!CV1="","",CHOOSE(WEEKDAY('ปฏิทิน'!CV1,2),"จ.","อ.","พ.","พฤ.","ศ.","ส.","อา."))</f>
        <v/>
      </c>
      <c r="CW7" s="601">
        <f>IF('ปฏิทิน'!CW1="","",CHOOSE(WEEKDAY('ปฏิทิน'!CW1,2),"จ.","อ.","พ.","พฤ.","ศ.","ส.","อา."))</f>
        <v/>
      </c>
      <c r="CX7" s="601">
        <f>IF('ปฏิทิน'!CX1="","",CHOOSE(WEEKDAY('ปฏิทิน'!CX1,2),"จ.","อ.","พ.","พฤ.","ศ.","ส.","อา."))</f>
        <v/>
      </c>
      <c r="CY7" s="602" t="n"/>
      <c r="DB7" s="600">
        <f>IF('ปฏิทิน'!DB1="","",CHOOSE(WEEKDAY('ปฏิทิน'!DB1,2),"จ.","อ.","พ.","พฤ.","ศ.","ส.","อา."))</f>
        <v/>
      </c>
      <c r="DC7" s="601">
        <f>IF('ปฏิทิน'!DC1="","",CHOOSE(WEEKDAY('ปฏิทิน'!DC1,2),"จ.","อ.","พ.","พฤ.","ศ.","ส.","อา."))</f>
        <v/>
      </c>
      <c r="DD7" s="601">
        <f>IF('ปฏิทิน'!DD1="","",CHOOSE(WEEKDAY('ปฏิทิน'!DD1,2),"จ.","อ.","พ.","พฤ.","ศ.","ส.","อา."))</f>
        <v/>
      </c>
      <c r="DE7" s="601">
        <f>IF('ปฏิทิน'!DE1="","",CHOOSE(WEEKDAY('ปฏิทิน'!DE1,2),"จ.","อ.","พ.","พฤ.","ศ.","ส.","อา."))</f>
        <v/>
      </c>
      <c r="DF7" s="601">
        <f>IF('ปฏิทิน'!DF1="","",CHOOSE(WEEKDAY('ปฏิทิน'!DF1,2),"จ.","อ.","พ.","พฤ.","ศ.","ส.","อา."))</f>
        <v/>
      </c>
      <c r="DG7" s="601">
        <f>IF('ปฏิทิน'!DG1="","",CHOOSE(WEEKDAY('ปฏิทิน'!DG1,2),"จ.","อ.","พ.","พฤ.","ศ.","ส.","อา."))</f>
        <v/>
      </c>
      <c r="DH7" s="601">
        <f>IF('ปฏิทิน'!DH1="","",CHOOSE(WEEKDAY('ปฏิทิน'!DH1,2),"จ.","อ.","พ.","พฤ.","ศ.","ส.","อา."))</f>
        <v/>
      </c>
      <c r="DI7" s="601">
        <f>IF('ปฏิทิน'!DI1="","",CHOOSE(WEEKDAY('ปฏิทิน'!DI1,2),"จ.","อ.","พ.","พฤ.","ศ.","ส.","อา."))</f>
        <v/>
      </c>
      <c r="DJ7" s="601">
        <f>IF('ปฏิทิน'!DJ1="","",CHOOSE(WEEKDAY('ปฏิทิน'!DJ1,2),"จ.","อ.","พ.","พฤ.","ศ.","ส.","อา."))</f>
        <v/>
      </c>
      <c r="DK7" s="601">
        <f>IF('ปฏิทิน'!DK1="","",CHOOSE(WEEKDAY('ปฏิทิน'!DK1,2),"จ.","อ.","พ.","พฤ.","ศ.","ส.","อา."))</f>
        <v/>
      </c>
      <c r="DL7" s="601">
        <f>IF('ปฏิทิน'!DL1="","",CHOOSE(WEEKDAY('ปฏิทิน'!DL1,2),"จ.","อ.","พ.","พฤ.","ศ.","ส.","อา."))</f>
        <v/>
      </c>
      <c r="DM7" s="601">
        <f>IF('ปฏิทิน'!DM1="","",CHOOSE(WEEKDAY('ปฏิทิน'!DM1,2),"จ.","อ.","พ.","พฤ.","ศ.","ส.","อา."))</f>
        <v/>
      </c>
      <c r="DN7" s="601">
        <f>IF('ปฏิทิน'!DN1="","",CHOOSE(WEEKDAY('ปฏิทิน'!DN1,2),"จ.","อ.","พ.","พฤ.","ศ.","ส.","อา."))</f>
        <v/>
      </c>
      <c r="DO7" s="601">
        <f>IF('ปฏิทิน'!DO1="","",CHOOSE(WEEKDAY('ปฏิทิน'!DO1,2),"จ.","อ.","พ.","พฤ.","ศ.","ส.","อา."))</f>
        <v/>
      </c>
      <c r="DP7" s="601">
        <f>IF('ปฏิทิน'!DP1="","",CHOOSE(WEEKDAY('ปฏิทิน'!DP1,2),"จ.","อ.","พ.","พฤ.","ศ.","ส.","อา."))</f>
        <v/>
      </c>
      <c r="DQ7" s="601">
        <f>IF('ปฏิทิน'!DQ1="","",CHOOSE(WEEKDAY('ปฏิทิน'!DQ1,2),"จ.","อ.","พ.","พฤ.","ศ.","ส.","อา."))</f>
        <v/>
      </c>
      <c r="DR7" s="601">
        <f>IF('ปฏิทิน'!DR1="","",CHOOSE(WEEKDAY('ปฏิทิน'!DR1,2),"จ.","อ.","พ.","พฤ.","ศ.","ส.","อา."))</f>
        <v/>
      </c>
      <c r="DS7" s="601">
        <f>IF('ปฏิทิน'!DS1="","",CHOOSE(WEEKDAY('ปฏิทิน'!DS1,2),"จ.","อ.","พ.","พฤ.","ศ.","ส.","อา."))</f>
        <v/>
      </c>
      <c r="DT7" s="601">
        <f>IF('ปฏิทิน'!DT1="","",CHOOSE(WEEKDAY('ปฏิทิน'!DT1,2),"จ.","อ.","พ.","พฤ.","ศ.","ส.","อา."))</f>
        <v/>
      </c>
      <c r="DU7" s="601">
        <f>IF('ปฏิทิน'!DU1="","",CHOOSE(WEEKDAY('ปฏิทิน'!DU1,2),"จ.","อ.","พ.","พฤ.","ศ.","ส.","อา."))</f>
        <v/>
      </c>
      <c r="DV7" s="601">
        <f>IF('ปฏิทิน'!DV1="","",CHOOSE(WEEKDAY('ปฏิทิน'!DV1,2),"จ.","อ.","พ.","พฤ.","ศ.","ส.","อา."))</f>
        <v/>
      </c>
      <c r="DW7" s="601">
        <f>IF('ปฏิทิน'!DW1="","",CHOOSE(WEEKDAY('ปฏิทิน'!DW1,2),"จ.","อ.","พ.","พฤ.","ศ.","ส.","อา."))</f>
        <v/>
      </c>
      <c r="DX7" s="601">
        <f>IF('ปฏิทิน'!DX1="","",CHOOSE(WEEKDAY('ปฏิทิน'!DX1,2),"จ.","อ.","พ.","พฤ.","ศ.","ส.","อา."))</f>
        <v/>
      </c>
      <c r="DY7" s="601">
        <f>IF('ปฏิทิน'!DY1="","",CHOOSE(WEEKDAY('ปฏิทิน'!DY1,2),"จ.","อ.","พ.","พฤ.","ศ.","ส.","อา."))</f>
        <v/>
      </c>
      <c r="DZ7" s="601">
        <f>IF('ปฏิทิน'!DZ1="","",CHOOSE(WEEKDAY('ปฏิทิน'!DZ1,2),"จ.","อ.","พ.","พฤ.","ศ.","ส.","อา."))</f>
        <v/>
      </c>
      <c r="EA7" s="601">
        <f>IF('ปฏิทิน'!EA1="","",CHOOSE(WEEKDAY('ปฏิทิน'!EA1,2),"จ.","อ.","พ.","พฤ.","ศ.","ส.","อา."))</f>
        <v/>
      </c>
      <c r="EB7" s="601">
        <f>IF('ปฏิทิน'!EB1="","",CHOOSE(WEEKDAY('ปฏิทิน'!EB1,2),"จ.","อ.","พ.","พฤ.","ศ.","ส.","อา."))</f>
        <v/>
      </c>
      <c r="EC7" s="601">
        <f>IF('ปฏิทิน'!EC1="","",CHOOSE(WEEKDAY('ปฏิทิน'!EC1,2),"จ.","อ.","พ.","พฤ.","ศ.","ส.","อา."))</f>
        <v/>
      </c>
      <c r="ED7" s="601">
        <f>IF('ปฏิทิน'!ED1="","",CHOOSE(WEEKDAY('ปฏิทิน'!ED1,2),"จ.","อ.","พ.","พฤ.","ศ.","ส.","อา."))</f>
        <v/>
      </c>
      <c r="EE7" s="601">
        <f>IF('ปฏิทิน'!EE1="","",CHOOSE(WEEKDAY('ปฏิทิน'!EE1,2),"จ.","อ.","พ.","พฤ.","ศ.","ส.","อา."))</f>
        <v/>
      </c>
      <c r="EF7" s="601">
        <f>IF('ปฏิทิน'!EF1="","",CHOOSE(WEEKDAY('ปฏิทิน'!EF1,2),"จ.","อ.","พ.","พฤ.","ศ.","ส.","อา."))</f>
        <v/>
      </c>
      <c r="EG7" s="602" t="n"/>
      <c r="EJ7" s="600">
        <f>IF('ปฏิทิน'!EJ1="","",CHOOSE(WEEKDAY('ปฏิทิน'!EJ1,2),"จ.","อ.","พ.","พฤ.","ศ.","ส.","อา."))</f>
        <v/>
      </c>
      <c r="EK7" s="601">
        <f>IF('ปฏิทิน'!EK1="","",CHOOSE(WEEKDAY('ปฏิทิน'!EK1,2),"จ.","อ.","พ.","พฤ.","ศ.","ส.","อา."))</f>
        <v/>
      </c>
      <c r="EL7" s="601">
        <f>IF('ปฏิทิน'!EL1="","",CHOOSE(WEEKDAY('ปฏิทิน'!EL1,2),"จ.","อ.","พ.","พฤ.","ศ.","ส.","อา."))</f>
        <v/>
      </c>
      <c r="EM7" s="601">
        <f>IF('ปฏิทิน'!EM1="","",CHOOSE(WEEKDAY('ปฏิทิน'!EM1,2),"จ.","อ.","พ.","พฤ.","ศ.","ส.","อา."))</f>
        <v/>
      </c>
      <c r="EN7" s="601">
        <f>IF('ปฏิทิน'!EN1="","",CHOOSE(WEEKDAY('ปฏิทิน'!EN1,2),"จ.","อ.","พ.","พฤ.","ศ.","ส.","อา."))</f>
        <v/>
      </c>
      <c r="EO7" s="601">
        <f>IF('ปฏิทิน'!EO1="","",CHOOSE(WEEKDAY('ปฏิทิน'!EO1,2),"จ.","อ.","พ.","พฤ.","ศ.","ส.","อา."))</f>
        <v/>
      </c>
      <c r="EP7" s="601">
        <f>IF('ปฏิทิน'!EP1="","",CHOOSE(WEEKDAY('ปฏิทิน'!EP1,2),"จ.","อ.","พ.","พฤ.","ศ.","ส.","อา."))</f>
        <v/>
      </c>
      <c r="EQ7" s="601">
        <f>IF('ปฏิทิน'!EQ1="","",CHOOSE(WEEKDAY('ปฏิทิน'!EQ1,2),"จ.","อ.","พ.","พฤ.","ศ.","ส.","อา."))</f>
        <v/>
      </c>
      <c r="ER7" s="601">
        <f>IF('ปฏิทิน'!ER1="","",CHOOSE(WEEKDAY('ปฏิทิน'!ER1,2),"จ.","อ.","พ.","พฤ.","ศ.","ส.","อา."))</f>
        <v/>
      </c>
      <c r="ES7" s="601">
        <f>IF('ปฏิทิน'!ES1="","",CHOOSE(WEEKDAY('ปฏิทิน'!ES1,2),"จ.","อ.","พ.","พฤ.","ศ.","ส.","อา."))</f>
        <v/>
      </c>
      <c r="ET7" s="601">
        <f>IF('ปฏิทิน'!ET1="","",CHOOSE(WEEKDAY('ปฏิทิน'!ET1,2),"จ.","อ.","พ.","พฤ.","ศ.","ส.","อา."))</f>
        <v/>
      </c>
      <c r="EU7" s="601">
        <f>IF('ปฏิทิน'!EU1="","",CHOOSE(WEEKDAY('ปฏิทิน'!EU1,2),"จ.","อ.","พ.","พฤ.","ศ.","ส.","อา."))</f>
        <v/>
      </c>
      <c r="EV7" s="601">
        <f>IF('ปฏิทิน'!EV1="","",CHOOSE(WEEKDAY('ปฏิทิน'!EV1,2),"จ.","อ.","พ.","พฤ.","ศ.","ส.","อา."))</f>
        <v/>
      </c>
      <c r="EW7" s="601">
        <f>IF('ปฏิทิน'!EW1="","",CHOOSE(WEEKDAY('ปฏิทิน'!EW1,2),"จ.","อ.","พ.","พฤ.","ศ.","ส.","อา."))</f>
        <v/>
      </c>
      <c r="EX7" s="601">
        <f>IF('ปฏิทิน'!EX1="","",CHOOSE(WEEKDAY('ปฏิทิน'!EX1,2),"จ.","อ.","พ.","พฤ.","ศ.","ส.","อา."))</f>
        <v/>
      </c>
      <c r="EY7" s="601">
        <f>IF('ปฏิทิน'!EY1="","",CHOOSE(WEEKDAY('ปฏิทิน'!EY1,2),"จ.","อ.","พ.","พฤ.","ศ.","ส.","อา."))</f>
        <v/>
      </c>
      <c r="EZ7" s="601">
        <f>IF('ปฏิทิน'!EZ1="","",CHOOSE(WEEKDAY('ปฏิทิน'!EZ1,2),"จ.","อ.","พ.","พฤ.","ศ.","ส.","อา."))</f>
        <v/>
      </c>
      <c r="FA7" s="601">
        <f>IF('ปฏิทิน'!FA1="","",CHOOSE(WEEKDAY('ปฏิทิน'!FA1,2),"จ.","อ.","พ.","พฤ.","ศ.","ส.","อา."))</f>
        <v/>
      </c>
      <c r="FB7" s="601">
        <f>IF('ปฏิทิน'!FB1="","",CHOOSE(WEEKDAY('ปฏิทิน'!FB1,2),"จ.","อ.","พ.","พฤ.","ศ.","ส.","อา."))</f>
        <v/>
      </c>
      <c r="FC7" s="601">
        <f>IF('ปฏิทิน'!FC1="","",CHOOSE(WEEKDAY('ปฏิทิน'!FC1,2),"จ.","อ.","พ.","พฤ.","ศ.","ส.","อา."))</f>
        <v/>
      </c>
      <c r="FD7" s="601">
        <f>IF('ปฏิทิน'!FD1="","",CHOOSE(WEEKDAY('ปฏิทิน'!FD1,2),"จ.","อ.","พ.","พฤ.","ศ.","ส.","อา."))</f>
        <v/>
      </c>
      <c r="FE7" s="601">
        <f>IF('ปฏิทิน'!FE1="","",CHOOSE(WEEKDAY('ปฏิทิน'!FE1,2),"จ.","อ.","พ.","พฤ.","ศ.","ส.","อา."))</f>
        <v/>
      </c>
      <c r="FF7" s="601">
        <f>IF('ปฏิทิน'!FF1="","",CHOOSE(WEEKDAY('ปฏิทิน'!FF1,2),"จ.","อ.","พ.","พฤ.","ศ.","ส.","อา."))</f>
        <v/>
      </c>
      <c r="FG7" s="601">
        <f>IF('ปฏิทิน'!FG1="","",CHOOSE(WEEKDAY('ปฏิทิน'!FG1,2),"จ.","อ.","พ.","พฤ.","ศ.","ส.","อา."))</f>
        <v/>
      </c>
      <c r="FH7" s="601">
        <f>IF('ปฏิทิน'!FH1="","",CHOOSE(WEEKDAY('ปฏิทิน'!FH1,2),"จ.","อ.","พ.","พฤ.","ศ.","ส.","อา."))</f>
        <v/>
      </c>
      <c r="FI7" s="601">
        <f>IF('ปฏิทิน'!FI1="","",CHOOSE(WEEKDAY('ปฏิทิน'!FI1,2),"จ.","อ.","พ.","พฤ.","ศ.","ส.","อา."))</f>
        <v/>
      </c>
      <c r="FJ7" s="601">
        <f>IF('ปฏิทิน'!FJ1="","",CHOOSE(WEEKDAY('ปฏิทิน'!FJ1,2),"จ.","อ.","พ.","พฤ.","ศ.","ส.","อา."))</f>
        <v/>
      </c>
      <c r="FK7" s="601">
        <f>IF('ปฏิทิน'!FK1="","",CHOOSE(WEEKDAY('ปฏิทิน'!FK1,2),"จ.","อ.","พ.","พฤ.","ศ.","ส.","อา."))</f>
        <v/>
      </c>
      <c r="FL7" s="601">
        <f>IF('ปฏิทิน'!FL1="","",CHOOSE(WEEKDAY('ปฏิทิน'!FL1,2),"จ.","อ.","พ.","พฤ.","ศ.","ส.","อา."))</f>
        <v/>
      </c>
      <c r="FM7" s="601">
        <f>IF('ปฏิทิน'!FM1="","",CHOOSE(WEEKDAY('ปฏิทิน'!FM1,2),"จ.","อ.","พ.","พฤ.","ศ.","ส.","อา."))</f>
        <v/>
      </c>
      <c r="FN7" s="601">
        <f>IF('ปฏิทิน'!FN1="","",CHOOSE(WEEKDAY('ปฏิทิน'!FN1,2),"จ.","อ.","พ.","พฤ.","ศ.","ส.","อา."))</f>
        <v/>
      </c>
      <c r="FO7" s="602" t="n"/>
      <c r="FR7" s="600">
        <f>IF('ปฏิทิน'!FR1="","",CHOOSE(WEEKDAY('ปฏิทิน'!FR1,2),"จ.","อ.","พ.","พฤ.","ศ.","ส.","อา."))</f>
        <v/>
      </c>
      <c r="FS7" s="601">
        <f>IF('ปฏิทิน'!FS1="","",CHOOSE(WEEKDAY('ปฏิทิน'!FS1,2),"จ.","อ.","พ.","พฤ.","ศ.","ส.","อา."))</f>
        <v/>
      </c>
      <c r="FT7" s="601">
        <f>IF('ปฏิทิน'!FT1="","",CHOOSE(WEEKDAY('ปฏิทิน'!FT1,2),"จ.","อ.","พ.","พฤ.","ศ.","ส.","อา."))</f>
        <v/>
      </c>
      <c r="FU7" s="601">
        <f>IF('ปฏิทิน'!FU1="","",CHOOSE(WEEKDAY('ปฏิทิน'!FU1,2),"จ.","อ.","พ.","พฤ.","ศ.","ส.","อา."))</f>
        <v/>
      </c>
      <c r="FV7" s="601">
        <f>IF('ปฏิทิน'!FV1="","",CHOOSE(WEEKDAY('ปฏิทิน'!FV1,2),"จ.","อ.","พ.","พฤ.","ศ.","ส.","อา."))</f>
        <v/>
      </c>
      <c r="FW7" s="601">
        <f>IF('ปฏิทิน'!FW1="","",CHOOSE(WEEKDAY('ปฏิทิน'!FW1,2),"จ.","อ.","พ.","พฤ.","ศ.","ส.","อา."))</f>
        <v/>
      </c>
      <c r="FX7" s="601">
        <f>IF('ปฏิทิน'!FX1="","",CHOOSE(WEEKDAY('ปฏิทิน'!FX1,2),"จ.","อ.","พ.","พฤ.","ศ.","ส.","อา."))</f>
        <v/>
      </c>
      <c r="FY7" s="601">
        <f>IF('ปฏิทิน'!FY1="","",CHOOSE(WEEKDAY('ปฏิทิน'!FY1,2),"จ.","อ.","พ.","พฤ.","ศ.","ส.","อา."))</f>
        <v/>
      </c>
      <c r="FZ7" s="601">
        <f>IF('ปฏิทิน'!FZ1="","",CHOOSE(WEEKDAY('ปฏิทิน'!FZ1,2),"จ.","อ.","พ.","พฤ.","ศ.","ส.","อา."))</f>
        <v/>
      </c>
      <c r="GA7" s="601">
        <f>IF('ปฏิทิน'!GA1="","",CHOOSE(WEEKDAY('ปฏิทิน'!GA1,2),"จ.","อ.","พ.","พฤ.","ศ.","ส.","อา."))</f>
        <v/>
      </c>
      <c r="GB7" s="601">
        <f>IF('ปฏิทิน'!GB1="","",CHOOSE(WEEKDAY('ปฏิทิน'!GB1,2),"จ.","อ.","พ.","พฤ.","ศ.","ส.","อา."))</f>
        <v/>
      </c>
      <c r="GC7" s="601">
        <f>IF('ปฏิทิน'!GC1="","",CHOOSE(WEEKDAY('ปฏิทิน'!GC1,2),"จ.","อ.","พ.","พฤ.","ศ.","ส.","อา."))</f>
        <v/>
      </c>
      <c r="GD7" s="601">
        <f>IF('ปฏิทิน'!GD1="","",CHOOSE(WEEKDAY('ปฏิทิน'!GD1,2),"จ.","อ.","พ.","พฤ.","ศ.","ส.","อา."))</f>
        <v/>
      </c>
      <c r="GE7" s="601">
        <f>IF('ปฏิทิน'!GE1="","",CHOOSE(WEEKDAY('ปฏิทิน'!GE1,2),"จ.","อ.","พ.","พฤ.","ศ.","ส.","อา."))</f>
        <v/>
      </c>
      <c r="GF7" s="601">
        <f>IF('ปฏิทิน'!GF1="","",CHOOSE(WEEKDAY('ปฏิทิน'!GF1,2),"จ.","อ.","พ.","พฤ.","ศ.","ส.","อา."))</f>
        <v/>
      </c>
      <c r="GG7" s="601">
        <f>IF('ปฏิทิน'!GG1="","",CHOOSE(WEEKDAY('ปฏิทิน'!GG1,2),"จ.","อ.","พ.","พฤ.","ศ.","ส.","อา."))</f>
        <v/>
      </c>
      <c r="GH7" s="601">
        <f>IF('ปฏิทิน'!GH1="","",CHOOSE(WEEKDAY('ปฏิทิน'!GH1,2),"จ.","อ.","พ.","พฤ.","ศ.","ส.","อา."))</f>
        <v/>
      </c>
      <c r="GI7" s="601">
        <f>IF('ปฏิทิน'!GI1="","",CHOOSE(WEEKDAY('ปฏิทิน'!GI1,2),"จ.","อ.","พ.","พฤ.","ศ.","ส.","อา."))</f>
        <v/>
      </c>
      <c r="GJ7" s="601">
        <f>IF('ปฏิทิน'!GJ1="","",CHOOSE(WEEKDAY('ปฏิทิน'!GJ1,2),"จ.","อ.","พ.","พฤ.","ศ.","ส.","อา."))</f>
        <v/>
      </c>
      <c r="GK7" s="601">
        <f>IF('ปฏิทิน'!GK1="","",CHOOSE(WEEKDAY('ปฏิทิน'!GK1,2),"จ.","อ.","พ.","พฤ.","ศ.","ส.","อา."))</f>
        <v/>
      </c>
      <c r="GL7" s="601">
        <f>IF('ปฏิทิน'!GL1="","",CHOOSE(WEEKDAY('ปฏิทิน'!GL1,2),"จ.","อ.","พ.","พฤ.","ศ.","ส.","อา."))</f>
        <v/>
      </c>
      <c r="GM7" s="601">
        <f>IF('ปฏิทิน'!GM1="","",CHOOSE(WEEKDAY('ปฏิทิน'!GM1,2),"จ.","อ.","พ.","พฤ.","ศ.","ส.","อา."))</f>
        <v/>
      </c>
      <c r="GN7" s="601">
        <f>IF('ปฏิทิน'!GN1="","",CHOOSE(WEEKDAY('ปฏิทิน'!GN1,2),"จ.","อ.","พ.","พฤ.","ศ.","ส.","อา."))</f>
        <v/>
      </c>
      <c r="GO7" s="601">
        <f>IF('ปฏิทิน'!GO1="","",CHOOSE(WEEKDAY('ปฏิทิน'!GO1,2),"จ.","อ.","พ.","พฤ.","ศ.","ส.","อา."))</f>
        <v/>
      </c>
      <c r="GP7" s="601">
        <f>IF('ปฏิทิน'!GP1="","",CHOOSE(WEEKDAY('ปฏิทิน'!GP1,2),"จ.","อ.","พ.","พฤ.","ศ.","ส.","อา."))</f>
        <v/>
      </c>
      <c r="GQ7" s="601">
        <f>IF('ปฏิทิน'!GQ1="","",CHOOSE(WEEKDAY('ปฏิทิน'!GQ1,2),"จ.","อ.","พ.","พฤ.","ศ.","ส.","อา."))</f>
        <v/>
      </c>
      <c r="GR7" s="601">
        <f>IF('ปฏิทิน'!GR1="","",CHOOSE(WEEKDAY('ปฏิทิน'!GR1,2),"จ.","อ.","พ.","พฤ.","ศ.","ส.","อา."))</f>
        <v/>
      </c>
      <c r="GS7" s="601">
        <f>IF('ปฏิทิน'!GS1="","",CHOOSE(WEEKDAY('ปฏิทิน'!GS1,2),"จ.","อ.","พ.","พฤ.","ศ.","ส.","อา."))</f>
        <v/>
      </c>
      <c r="GT7" s="601">
        <f>IF('ปฏิทิน'!GT1="","",CHOOSE(WEEKDAY('ปฏิทิน'!GT1,2),"จ.","อ.","พ.","พฤ.","ศ.","ส.","อา."))</f>
        <v/>
      </c>
      <c r="GU7" s="601">
        <f>IF('ปฏิทิน'!GU1="","",CHOOSE(WEEKDAY('ปฏิทิน'!GU1,2),"จ.","อ.","พ.","พฤ.","ศ.","ส.","อา."))</f>
        <v/>
      </c>
      <c r="GV7" s="601">
        <f>IF('ปฏิทิน'!GV1="","",CHOOSE(WEEKDAY('ปฏิทิน'!GV1,2),"จ.","อ.","พ.","พฤ.","ศ.","ส.","อา."))</f>
        <v/>
      </c>
      <c r="GW7" s="602" t="n"/>
    </row>
    <row r="8" ht="64" customHeight="1">
      <c r="D8" s="603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602" t="n"/>
      <c r="AL8" s="603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602" t="n"/>
      <c r="BT8" s="603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602" t="n"/>
      <c r="DB8" s="603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602" t="n"/>
      <c r="EJ8" s="603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602" t="n"/>
      <c r="FR8" s="603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602" t="n"/>
    </row>
    <row r="9">
      <c r="A9" s="218" t="n">
        <v>1</v>
      </c>
      <c r="B9" s="219">
        <f>'ข้อมูลนักเรียน'!T9</f>
        <v/>
      </c>
      <c r="C9" s="604">
        <f>IF(B9="","",IFERROR(COUNTIF(D9:GY9,"✓")/(COUNTIF(D9:GY9,"✓")+COUNTIF(D9:GY9,"✗")),""))</f>
        <v/>
      </c>
      <c r="D9" s="60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06">
        <f>IF($B9="","",COUNTIF(D9:AH9,"✓"))</f>
        <v/>
      </c>
      <c r="AJ9" s="607">
        <f>IF($B9="","",COUNTIF(D9:AH9,"✗"))</f>
        <v/>
      </c>
      <c r="AK9" s="608">
        <f>IF($B9="","",IFERROR(ROUND(COUNTIF(D9:AH9,"✓")/(COUNTIF(D9:AH9,"✓")+COUNTIF(D9:AH9,"✗"))*100,0),""))</f>
        <v/>
      </c>
      <c r="AL9" s="60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06">
        <f>IF($B9="","",COUNTIF(AL9:BP9,"✓"))</f>
        <v/>
      </c>
      <c r="BR9" s="607">
        <f>IF($B9="","",COUNTIF(AL9:BP9,"✗"))</f>
        <v/>
      </c>
      <c r="BS9" s="608">
        <f>IF($B9="","",IFERROR(ROUND(COUNTIF(AL9:BP9,"✓")/(COUNTIF(AL9:BP9,"✓")+COUNTIF(AL9:BP9,"✗"))*100,0),""))</f>
        <v/>
      </c>
      <c r="BT9" s="60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06">
        <f>IF($B9="","",COUNTIF(BT9:CX9,"✓"))</f>
        <v/>
      </c>
      <c r="CZ9" s="607">
        <f>IF($B9="","",COUNTIF(BT9:CX9,"✗"))</f>
        <v/>
      </c>
      <c r="DA9" s="608">
        <f>IF($B9="","",IFERROR(ROUND(COUNTIF(BT9:CX9,"✓")/(COUNTIF(BT9:CX9,"✓")+COUNTIF(BT9:CX9,"✗"))*100,0),""))</f>
        <v/>
      </c>
      <c r="DB9" s="60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06">
        <f>IF($B9="","",COUNTIF(DB9:EF9,"✓"))</f>
        <v/>
      </c>
      <c r="EH9" s="607">
        <f>IF($B9="","",COUNTIF(DB9:EF9,"✗"))</f>
        <v/>
      </c>
      <c r="EI9" s="608">
        <f>IF($B9="","",IFERROR(ROUND(COUNTIF(DB9:EF9,"✓")/(COUNTIF(DB9:EF9,"✓")+COUNTIF(DB9:EF9,"✗"))*100,0),""))</f>
        <v/>
      </c>
      <c r="EJ9" s="60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06">
        <f>IF($B9="","",COUNTIF(EJ9:FN9,"✓"))</f>
        <v/>
      </c>
      <c r="FP9" s="607">
        <f>IF($B9="","",COUNTIF(EJ9:FN9,"✗"))</f>
        <v/>
      </c>
      <c r="FQ9" s="608">
        <f>IF($B9="","",IFERROR(ROUND(COUNTIF(EJ9:FN9,"✓")/(COUNTIF(EJ9:FN9,"✓")+COUNTIF(EJ9:FN9,"✗"))*100,0),""))</f>
        <v/>
      </c>
      <c r="FR9" s="605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606">
        <f>IF($B9="","",COUNTIF(FR9:GV9,"✓"))</f>
        <v/>
      </c>
      <c r="GX9" s="607">
        <f>IF($B9="","",COUNTIF(FR9:GV9,"✗"))</f>
        <v/>
      </c>
      <c r="GY9" s="608">
        <f>IF($B9="","",IFERROR(ROUND(COUNTIF(FR9:GV9,"✓")/(COUNTIF(FR9:GV9,"✓")+COUNTIF(FR9:GV9,"✗"))*100,0),""))</f>
        <v/>
      </c>
    </row>
    <row r="10">
      <c r="A10" s="226" t="n">
        <v>2</v>
      </c>
      <c r="B10" s="227">
        <f>'ข้อมูลนักเรียน'!T10</f>
        <v/>
      </c>
      <c r="C10" s="604">
        <f>IF(B10="","",IFERROR(COUNTIF(D10:GY10,"✓")/(COUNTIF(D10:GY10,"✓")+COUNTIF(D10:GY10,"✗")),""))</f>
        <v/>
      </c>
      <c r="D10" s="60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06">
        <f>IF($B10="","",COUNTIF(D10:AH10,"✓"))</f>
        <v/>
      </c>
      <c r="AJ10" s="607">
        <f>IF($B10="","",COUNTIF(D10:AH10,"✗"))</f>
        <v/>
      </c>
      <c r="AK10" s="608">
        <f>IF($B10="","",IFERROR(ROUND(COUNTIF(D10:AH10,"✓")/(COUNTIF(D10:AH10,"✓")+COUNTIF(D10:AH10,"✗"))*100,0),""))</f>
        <v/>
      </c>
      <c r="AL10" s="60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06">
        <f>IF($B10="","",COUNTIF(AL10:BP10,"✓"))</f>
        <v/>
      </c>
      <c r="BR10" s="607">
        <f>IF($B10="","",COUNTIF(AL10:BP10,"✗"))</f>
        <v/>
      </c>
      <c r="BS10" s="608">
        <f>IF($B10="","",IFERROR(ROUND(COUNTIF(AL10:BP10,"✓")/(COUNTIF(AL10:BP10,"✓")+COUNTIF(AL10:BP10,"✗"))*100,0),""))</f>
        <v/>
      </c>
      <c r="BT10" s="60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06">
        <f>IF($B10="","",COUNTIF(BT10:CX10,"✓"))</f>
        <v/>
      </c>
      <c r="CZ10" s="607">
        <f>IF($B10="","",COUNTIF(BT10:CX10,"✗"))</f>
        <v/>
      </c>
      <c r="DA10" s="608">
        <f>IF($B10="","",IFERROR(ROUND(COUNTIF(BT10:CX10,"✓")/(COUNTIF(BT10:CX10,"✓")+COUNTIF(BT10:CX10,"✗"))*100,0),""))</f>
        <v/>
      </c>
      <c r="DB10" s="60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06">
        <f>IF($B10="","",COUNTIF(DB10:EF10,"✓"))</f>
        <v/>
      </c>
      <c r="EH10" s="607">
        <f>IF($B10="","",COUNTIF(DB10:EF10,"✗"))</f>
        <v/>
      </c>
      <c r="EI10" s="608">
        <f>IF($B10="","",IFERROR(ROUND(COUNTIF(DB10:EF10,"✓")/(COUNTIF(DB10:EF10,"✓")+COUNTIF(DB10:EF10,"✗"))*100,0),""))</f>
        <v/>
      </c>
      <c r="EJ10" s="60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06">
        <f>IF($B10="","",COUNTIF(EJ10:FN10,"✓"))</f>
        <v/>
      </c>
      <c r="FP10" s="607">
        <f>IF($B10="","",COUNTIF(EJ10:FN10,"✗"))</f>
        <v/>
      </c>
      <c r="FQ10" s="608">
        <f>IF($B10="","",IFERROR(ROUND(COUNTIF(EJ10:FN10,"✓")/(COUNTIF(EJ10:FN10,"✓")+COUNTIF(EJ10:FN10,"✗"))*100,0),""))</f>
        <v/>
      </c>
      <c r="FR10" s="605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606">
        <f>IF($B10="","",COUNTIF(FR10:GV10,"✓"))</f>
        <v/>
      </c>
      <c r="GX10" s="607">
        <f>IF($B10="","",COUNTIF(FR10:GV10,"✗"))</f>
        <v/>
      </c>
      <c r="GY10" s="608">
        <f>IF($B10="","",IFERROR(ROUND(COUNTIF(FR10:GV10,"✓")/(COUNTIF(FR10:GV10,"✓")+COUNTIF(FR10:GV10,"✗"))*100,0),""))</f>
        <v/>
      </c>
    </row>
    <row r="11">
      <c r="A11" s="218" t="n">
        <v>3</v>
      </c>
      <c r="B11" s="219">
        <f>'ข้อมูลนักเรียน'!T11</f>
        <v/>
      </c>
      <c r="C11" s="604">
        <f>IF(B11="","",IFERROR(COUNTIF(D11:GY11,"✓")/(COUNTIF(D11:GY11,"✓")+COUNTIF(D11:GY11,"✗")),""))</f>
        <v/>
      </c>
      <c r="D11" s="60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06">
        <f>IF($B11="","",COUNTIF(D11:AH11,"✓"))</f>
        <v/>
      </c>
      <c r="AJ11" s="607">
        <f>IF($B11="","",COUNTIF(D11:AH11,"✗"))</f>
        <v/>
      </c>
      <c r="AK11" s="608">
        <f>IF($B11="","",IFERROR(ROUND(COUNTIF(D11:AH11,"✓")/(COUNTIF(D11:AH11,"✓")+COUNTIF(D11:AH11,"✗"))*100,0),""))</f>
        <v/>
      </c>
      <c r="AL11" s="60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06">
        <f>IF($B11="","",COUNTIF(AL11:BP11,"✓"))</f>
        <v/>
      </c>
      <c r="BR11" s="607">
        <f>IF($B11="","",COUNTIF(AL11:BP11,"✗"))</f>
        <v/>
      </c>
      <c r="BS11" s="608">
        <f>IF($B11="","",IFERROR(ROUND(COUNTIF(AL11:BP11,"✓")/(COUNTIF(AL11:BP11,"✓")+COUNTIF(AL11:BP11,"✗"))*100,0),""))</f>
        <v/>
      </c>
      <c r="BT11" s="60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06">
        <f>IF($B11="","",COUNTIF(BT11:CX11,"✓"))</f>
        <v/>
      </c>
      <c r="CZ11" s="607">
        <f>IF($B11="","",COUNTIF(BT11:CX11,"✗"))</f>
        <v/>
      </c>
      <c r="DA11" s="608">
        <f>IF($B11="","",IFERROR(ROUND(COUNTIF(BT11:CX11,"✓")/(COUNTIF(BT11:CX11,"✓")+COUNTIF(BT11:CX11,"✗"))*100,0),""))</f>
        <v/>
      </c>
      <c r="DB11" s="60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06">
        <f>IF($B11="","",COUNTIF(DB11:EF11,"✓"))</f>
        <v/>
      </c>
      <c r="EH11" s="607">
        <f>IF($B11="","",COUNTIF(DB11:EF11,"✗"))</f>
        <v/>
      </c>
      <c r="EI11" s="608">
        <f>IF($B11="","",IFERROR(ROUND(COUNTIF(DB11:EF11,"✓")/(COUNTIF(DB11:EF11,"✓")+COUNTIF(DB11:EF11,"✗"))*100,0),""))</f>
        <v/>
      </c>
      <c r="EJ11" s="60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06">
        <f>IF($B11="","",COUNTIF(EJ11:FN11,"✓"))</f>
        <v/>
      </c>
      <c r="FP11" s="607">
        <f>IF($B11="","",COUNTIF(EJ11:FN11,"✗"))</f>
        <v/>
      </c>
      <c r="FQ11" s="608">
        <f>IF($B11="","",IFERROR(ROUND(COUNTIF(EJ11:FN11,"✓")/(COUNTIF(EJ11:FN11,"✓")+COUNTIF(EJ11:FN11,"✗"))*100,0),""))</f>
        <v/>
      </c>
      <c r="FR11" s="605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606">
        <f>IF($B11="","",COUNTIF(FR11:GV11,"✓"))</f>
        <v/>
      </c>
      <c r="GX11" s="607">
        <f>IF($B11="","",COUNTIF(FR11:GV11,"✗"))</f>
        <v/>
      </c>
      <c r="GY11" s="608">
        <f>IF($B11="","",IFERROR(ROUND(COUNTIF(FR11:GV11,"✓")/(COUNTIF(FR11:GV11,"✓")+COUNTIF(FR11:GV11,"✗"))*100,0),""))</f>
        <v/>
      </c>
    </row>
    <row r="12">
      <c r="A12" s="226" t="n">
        <v>4</v>
      </c>
      <c r="B12" s="227">
        <f>'ข้อมูลนักเรียน'!T12</f>
        <v/>
      </c>
      <c r="C12" s="604">
        <f>IF(B12="","",IFERROR(COUNTIF(D12:GY12,"✓")/(COUNTIF(D12:GY12,"✓")+COUNTIF(D12:GY12,"✗")),""))</f>
        <v/>
      </c>
      <c r="D12" s="60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06">
        <f>IF($B12="","",COUNTIF(D12:AH12,"✓"))</f>
        <v/>
      </c>
      <c r="AJ12" s="607">
        <f>IF($B12="","",COUNTIF(D12:AH12,"✗"))</f>
        <v/>
      </c>
      <c r="AK12" s="608">
        <f>IF($B12="","",IFERROR(ROUND(COUNTIF(D12:AH12,"✓")/(COUNTIF(D12:AH12,"✓")+COUNTIF(D12:AH12,"✗"))*100,0),""))</f>
        <v/>
      </c>
      <c r="AL12" s="60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06">
        <f>IF($B12="","",COUNTIF(AL12:BP12,"✓"))</f>
        <v/>
      </c>
      <c r="BR12" s="607">
        <f>IF($B12="","",COUNTIF(AL12:BP12,"✗"))</f>
        <v/>
      </c>
      <c r="BS12" s="608">
        <f>IF($B12="","",IFERROR(ROUND(COUNTIF(AL12:BP12,"✓")/(COUNTIF(AL12:BP12,"✓")+COUNTIF(AL12:BP12,"✗"))*100,0),""))</f>
        <v/>
      </c>
      <c r="BT12" s="60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06">
        <f>IF($B12="","",COUNTIF(BT12:CX12,"✓"))</f>
        <v/>
      </c>
      <c r="CZ12" s="607">
        <f>IF($B12="","",COUNTIF(BT12:CX12,"✗"))</f>
        <v/>
      </c>
      <c r="DA12" s="608">
        <f>IF($B12="","",IFERROR(ROUND(COUNTIF(BT12:CX12,"✓")/(COUNTIF(BT12:CX12,"✓")+COUNTIF(BT12:CX12,"✗"))*100,0),""))</f>
        <v/>
      </c>
      <c r="DB12" s="60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06">
        <f>IF($B12="","",COUNTIF(DB12:EF12,"✓"))</f>
        <v/>
      </c>
      <c r="EH12" s="607">
        <f>IF($B12="","",COUNTIF(DB12:EF12,"✗"))</f>
        <v/>
      </c>
      <c r="EI12" s="608">
        <f>IF($B12="","",IFERROR(ROUND(COUNTIF(DB12:EF12,"✓")/(COUNTIF(DB12:EF12,"✓")+COUNTIF(DB12:EF12,"✗"))*100,0),""))</f>
        <v/>
      </c>
      <c r="EJ12" s="60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06">
        <f>IF($B12="","",COUNTIF(EJ12:FN12,"✓"))</f>
        <v/>
      </c>
      <c r="FP12" s="607">
        <f>IF($B12="","",COUNTIF(EJ12:FN12,"✗"))</f>
        <v/>
      </c>
      <c r="FQ12" s="608">
        <f>IF($B12="","",IFERROR(ROUND(COUNTIF(EJ12:FN12,"✓")/(COUNTIF(EJ12:FN12,"✓")+COUNTIF(EJ12:FN12,"✗"))*100,0),""))</f>
        <v/>
      </c>
      <c r="FR12" s="605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606">
        <f>IF($B12="","",COUNTIF(FR12:GV12,"✓"))</f>
        <v/>
      </c>
      <c r="GX12" s="607">
        <f>IF($B12="","",COUNTIF(FR12:GV12,"✗"))</f>
        <v/>
      </c>
      <c r="GY12" s="608">
        <f>IF($B12="","",IFERROR(ROUND(COUNTIF(FR12:GV12,"✓")/(COUNTIF(FR12:GV12,"✓")+COUNTIF(FR12:GV12,"✗"))*100,0),""))</f>
        <v/>
      </c>
    </row>
    <row r="13">
      <c r="A13" s="218" t="n">
        <v>5</v>
      </c>
      <c r="B13" s="219">
        <f>'ข้อมูลนักเรียน'!T13</f>
        <v/>
      </c>
      <c r="C13" s="604">
        <f>IF(B13="","",IFERROR(COUNTIF(D13:GY13,"✓")/(COUNTIF(D13:GY13,"✓")+COUNTIF(D13:GY13,"✗")),""))</f>
        <v/>
      </c>
      <c r="D13" s="60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06">
        <f>IF($B13="","",COUNTIF(D13:AH13,"✓"))</f>
        <v/>
      </c>
      <c r="AJ13" s="607">
        <f>IF($B13="","",COUNTIF(D13:AH13,"✗"))</f>
        <v/>
      </c>
      <c r="AK13" s="608">
        <f>IF($B13="","",IFERROR(ROUND(COUNTIF(D13:AH13,"✓")/(COUNTIF(D13:AH13,"✓")+COUNTIF(D13:AH13,"✗"))*100,0),""))</f>
        <v/>
      </c>
      <c r="AL13" s="60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06">
        <f>IF($B13="","",COUNTIF(AL13:BP13,"✓"))</f>
        <v/>
      </c>
      <c r="BR13" s="607">
        <f>IF($B13="","",COUNTIF(AL13:BP13,"✗"))</f>
        <v/>
      </c>
      <c r="BS13" s="608">
        <f>IF($B13="","",IFERROR(ROUND(COUNTIF(AL13:BP13,"✓")/(COUNTIF(AL13:BP13,"✓")+COUNTIF(AL13:BP13,"✗"))*100,0),""))</f>
        <v/>
      </c>
      <c r="BT13" s="60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06">
        <f>IF($B13="","",COUNTIF(BT13:CX13,"✓"))</f>
        <v/>
      </c>
      <c r="CZ13" s="607">
        <f>IF($B13="","",COUNTIF(BT13:CX13,"✗"))</f>
        <v/>
      </c>
      <c r="DA13" s="608">
        <f>IF($B13="","",IFERROR(ROUND(COUNTIF(BT13:CX13,"✓")/(COUNTIF(BT13:CX13,"✓")+COUNTIF(BT13:CX13,"✗"))*100,0),""))</f>
        <v/>
      </c>
      <c r="DB13" s="60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06">
        <f>IF($B13="","",COUNTIF(DB13:EF13,"✓"))</f>
        <v/>
      </c>
      <c r="EH13" s="607">
        <f>IF($B13="","",COUNTIF(DB13:EF13,"✗"))</f>
        <v/>
      </c>
      <c r="EI13" s="608">
        <f>IF($B13="","",IFERROR(ROUND(COUNTIF(DB13:EF13,"✓")/(COUNTIF(DB13:EF13,"✓")+COUNTIF(DB13:EF13,"✗"))*100,0),""))</f>
        <v/>
      </c>
      <c r="EJ13" s="60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06">
        <f>IF($B13="","",COUNTIF(EJ13:FN13,"✓"))</f>
        <v/>
      </c>
      <c r="FP13" s="607">
        <f>IF($B13="","",COUNTIF(EJ13:FN13,"✗"))</f>
        <v/>
      </c>
      <c r="FQ13" s="608">
        <f>IF($B13="","",IFERROR(ROUND(COUNTIF(EJ13:FN13,"✓")/(COUNTIF(EJ13:FN13,"✓")+COUNTIF(EJ13:FN13,"✗"))*100,0),""))</f>
        <v/>
      </c>
      <c r="FR13" s="605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606">
        <f>IF($B13="","",COUNTIF(FR13:GV13,"✓"))</f>
        <v/>
      </c>
      <c r="GX13" s="607">
        <f>IF($B13="","",COUNTIF(FR13:GV13,"✗"))</f>
        <v/>
      </c>
      <c r="GY13" s="608">
        <f>IF($B13="","",IFERROR(ROUND(COUNTIF(FR13:GV13,"✓")/(COUNTIF(FR13:GV13,"✓")+COUNTIF(FR13:GV13,"✗"))*100,0),""))</f>
        <v/>
      </c>
    </row>
    <row r="14">
      <c r="A14" s="609" t="inlineStr">
        <is>
          <t>ออกกำลังกาย (คน)</t>
        </is>
      </c>
      <c r="B14" s="184" t="n"/>
      <c r="C14" s="184" t="n"/>
      <c r="D14" s="610">
        <f>IF(D$4&lt;&gt;1,"",COUNTIF(D9:D13,"✓"))</f>
        <v/>
      </c>
      <c r="E14" s="611">
        <f>IF(E$4&lt;&gt;1,"",COUNTIF(E9:E13,"✓"))</f>
        <v/>
      </c>
      <c r="F14" s="611">
        <f>IF(F$4&lt;&gt;1,"",COUNTIF(F9:F13,"✓"))</f>
        <v/>
      </c>
      <c r="G14" s="611">
        <f>IF(G$4&lt;&gt;1,"",COUNTIF(G9:G13,"✓"))</f>
        <v/>
      </c>
      <c r="H14" s="611">
        <f>IF(H$4&lt;&gt;1,"",COUNTIF(H9:H13,"✓"))</f>
        <v/>
      </c>
      <c r="I14" s="611">
        <f>IF(I$4&lt;&gt;1,"",COUNTIF(I9:I13,"✓"))</f>
        <v/>
      </c>
      <c r="J14" s="611">
        <f>IF(J$4&lt;&gt;1,"",COUNTIF(J9:J13,"✓"))</f>
        <v/>
      </c>
      <c r="K14" s="611">
        <f>IF(K$4&lt;&gt;1,"",COUNTIF(K9:K13,"✓"))</f>
        <v/>
      </c>
      <c r="L14" s="611">
        <f>IF(L$4&lt;&gt;1,"",COUNTIF(L9:L13,"✓"))</f>
        <v/>
      </c>
      <c r="M14" s="611">
        <f>IF(M$4&lt;&gt;1,"",COUNTIF(M9:M13,"✓"))</f>
        <v/>
      </c>
      <c r="N14" s="611">
        <f>IF(N$4&lt;&gt;1,"",COUNTIF(N9:N13,"✓"))</f>
        <v/>
      </c>
      <c r="O14" s="611">
        <f>IF(O$4&lt;&gt;1,"",COUNTIF(O9:O13,"✓"))</f>
        <v/>
      </c>
      <c r="P14" s="611">
        <f>IF(P$4&lt;&gt;1,"",COUNTIF(P9:P13,"✓"))</f>
        <v/>
      </c>
      <c r="Q14" s="611">
        <f>IF(Q$4&lt;&gt;1,"",COUNTIF(Q9:Q13,"✓"))</f>
        <v/>
      </c>
      <c r="R14" s="611">
        <f>IF(R$4&lt;&gt;1,"",COUNTIF(R9:R13,"✓"))</f>
        <v/>
      </c>
      <c r="S14" s="611">
        <f>IF(S$4&lt;&gt;1,"",COUNTIF(S9:S13,"✓"))</f>
        <v/>
      </c>
      <c r="T14" s="611">
        <f>IF(T$4&lt;&gt;1,"",COUNTIF(T9:T13,"✓"))</f>
        <v/>
      </c>
      <c r="U14" s="611">
        <f>IF(U$4&lt;&gt;1,"",COUNTIF(U9:U13,"✓"))</f>
        <v/>
      </c>
      <c r="V14" s="611">
        <f>IF(V$4&lt;&gt;1,"",COUNTIF(V9:V13,"✓"))</f>
        <v/>
      </c>
      <c r="W14" s="611">
        <f>IF(W$4&lt;&gt;1,"",COUNTIF(W9:W13,"✓"))</f>
        <v/>
      </c>
      <c r="X14" s="611">
        <f>IF(X$4&lt;&gt;1,"",COUNTIF(X9:X13,"✓"))</f>
        <v/>
      </c>
      <c r="Y14" s="611">
        <f>IF(Y$4&lt;&gt;1,"",COUNTIF(Y9:Y13,"✓"))</f>
        <v/>
      </c>
      <c r="Z14" s="611">
        <f>IF(Z$4&lt;&gt;1,"",COUNTIF(Z9:Z13,"✓"))</f>
        <v/>
      </c>
      <c r="AA14" s="611">
        <f>IF(AA$4&lt;&gt;1,"",COUNTIF(AA9:AA13,"✓"))</f>
        <v/>
      </c>
      <c r="AB14" s="611">
        <f>IF(AB$4&lt;&gt;1,"",COUNTIF(AB9:AB13,"✓"))</f>
        <v/>
      </c>
      <c r="AC14" s="611">
        <f>IF(AC$4&lt;&gt;1,"",COUNTIF(AC9:AC13,"✓"))</f>
        <v/>
      </c>
      <c r="AD14" s="611">
        <f>IF(AD$4&lt;&gt;1,"",COUNTIF(AD9:AD13,"✓"))</f>
        <v/>
      </c>
      <c r="AE14" s="611">
        <f>IF(AE$4&lt;&gt;1,"",COUNTIF(AE9:AE13,"✓"))</f>
        <v/>
      </c>
      <c r="AF14" s="611">
        <f>IF(AF$4&lt;&gt;1,"",COUNTIF(AF9:AF13,"✓"))</f>
        <v/>
      </c>
      <c r="AG14" s="611">
        <f>IF(AG$4&lt;&gt;1,"",COUNTIF(AG9:AG13,"✓"))</f>
        <v/>
      </c>
      <c r="AH14" s="611">
        <f>IF(AH$4&lt;&gt;1,"",COUNTIF(AH9:AH13,"✓"))</f>
        <v/>
      </c>
      <c r="AI14" s="612">
        <f>SUM(AI9:AI13)</f>
        <v/>
      </c>
      <c r="AJ14" s="613">
        <f>SUM(AJ9:AJ13)</f>
        <v/>
      </c>
      <c r="AK14" s="614">
        <f>IFERROR(AVERAGE(AK9:AK13),"")</f>
        <v/>
      </c>
      <c r="AL14" s="610">
        <f>IF(AL$4&lt;&gt;1,"",COUNTIF(AL9:AL13,"✓"))</f>
        <v/>
      </c>
      <c r="AM14" s="611">
        <f>IF(AM$4&lt;&gt;1,"",COUNTIF(AM9:AM13,"✓"))</f>
        <v/>
      </c>
      <c r="AN14" s="611">
        <f>IF(AN$4&lt;&gt;1,"",COUNTIF(AN9:AN13,"✓"))</f>
        <v/>
      </c>
      <c r="AO14" s="611">
        <f>IF(AO$4&lt;&gt;1,"",COUNTIF(AO9:AO13,"✓"))</f>
        <v/>
      </c>
      <c r="AP14" s="611">
        <f>IF(AP$4&lt;&gt;1,"",COUNTIF(AP9:AP13,"✓"))</f>
        <v/>
      </c>
      <c r="AQ14" s="611">
        <f>IF(AQ$4&lt;&gt;1,"",COUNTIF(AQ9:AQ13,"✓"))</f>
        <v/>
      </c>
      <c r="AR14" s="611">
        <f>IF(AR$4&lt;&gt;1,"",COUNTIF(AR9:AR13,"✓"))</f>
        <v/>
      </c>
      <c r="AS14" s="611">
        <f>IF(AS$4&lt;&gt;1,"",COUNTIF(AS9:AS13,"✓"))</f>
        <v/>
      </c>
      <c r="AT14" s="611">
        <f>IF(AT$4&lt;&gt;1,"",COUNTIF(AT9:AT13,"✓"))</f>
        <v/>
      </c>
      <c r="AU14" s="611">
        <f>IF(AU$4&lt;&gt;1,"",COUNTIF(AU9:AU13,"✓"))</f>
        <v/>
      </c>
      <c r="AV14" s="611">
        <f>IF(AV$4&lt;&gt;1,"",COUNTIF(AV9:AV13,"✓"))</f>
        <v/>
      </c>
      <c r="AW14" s="611">
        <f>IF(AW$4&lt;&gt;1,"",COUNTIF(AW9:AW13,"✓"))</f>
        <v/>
      </c>
      <c r="AX14" s="611">
        <f>IF(AX$4&lt;&gt;1,"",COUNTIF(AX9:AX13,"✓"))</f>
        <v/>
      </c>
      <c r="AY14" s="611">
        <f>IF(AY$4&lt;&gt;1,"",COUNTIF(AY9:AY13,"✓"))</f>
        <v/>
      </c>
      <c r="AZ14" s="611">
        <f>IF(AZ$4&lt;&gt;1,"",COUNTIF(AZ9:AZ13,"✓"))</f>
        <v/>
      </c>
      <c r="BA14" s="611">
        <f>IF(BA$4&lt;&gt;1,"",COUNTIF(BA9:BA13,"✓"))</f>
        <v/>
      </c>
      <c r="BB14" s="611">
        <f>IF(BB$4&lt;&gt;1,"",COUNTIF(BB9:BB13,"✓"))</f>
        <v/>
      </c>
      <c r="BC14" s="611">
        <f>IF(BC$4&lt;&gt;1,"",COUNTIF(BC9:BC13,"✓"))</f>
        <v/>
      </c>
      <c r="BD14" s="611">
        <f>IF(BD$4&lt;&gt;1,"",COUNTIF(BD9:BD13,"✓"))</f>
        <v/>
      </c>
      <c r="BE14" s="611">
        <f>IF(BE$4&lt;&gt;1,"",COUNTIF(BE9:BE13,"✓"))</f>
        <v/>
      </c>
      <c r="BF14" s="611">
        <f>IF(BF$4&lt;&gt;1,"",COUNTIF(BF9:BF13,"✓"))</f>
        <v/>
      </c>
      <c r="BG14" s="611">
        <f>IF(BG$4&lt;&gt;1,"",COUNTIF(BG9:BG13,"✓"))</f>
        <v/>
      </c>
      <c r="BH14" s="611">
        <f>IF(BH$4&lt;&gt;1,"",COUNTIF(BH9:BH13,"✓"))</f>
        <v/>
      </c>
      <c r="BI14" s="611">
        <f>IF(BI$4&lt;&gt;1,"",COUNTIF(BI9:BI13,"✓"))</f>
        <v/>
      </c>
      <c r="BJ14" s="611">
        <f>IF(BJ$4&lt;&gt;1,"",COUNTIF(BJ9:BJ13,"✓"))</f>
        <v/>
      </c>
      <c r="BK14" s="611">
        <f>IF(BK$4&lt;&gt;1,"",COUNTIF(BK9:BK13,"✓"))</f>
        <v/>
      </c>
      <c r="BL14" s="611">
        <f>IF(BL$4&lt;&gt;1,"",COUNTIF(BL9:BL13,"✓"))</f>
        <v/>
      </c>
      <c r="BM14" s="611">
        <f>IF(BM$4&lt;&gt;1,"",COUNTIF(BM9:BM13,"✓"))</f>
        <v/>
      </c>
      <c r="BN14" s="611">
        <f>IF(BN$4&lt;&gt;1,"",COUNTIF(BN9:BN13,"✓"))</f>
        <v/>
      </c>
      <c r="BO14" s="611">
        <f>IF(BO$4&lt;&gt;1,"",COUNTIF(BO9:BO13,"✓"))</f>
        <v/>
      </c>
      <c r="BP14" s="611">
        <f>IF(BP$4&lt;&gt;1,"",COUNTIF(BP9:BP13,"✓"))</f>
        <v/>
      </c>
      <c r="BQ14" s="612">
        <f>SUM(BQ9:BQ13)</f>
        <v/>
      </c>
      <c r="BR14" s="613">
        <f>SUM(BR9:BR13)</f>
        <v/>
      </c>
      <c r="BS14" s="614">
        <f>IFERROR(AVERAGE(BS9:BS13),"")</f>
        <v/>
      </c>
      <c r="BT14" s="610">
        <f>IF(BT$4&lt;&gt;1,"",COUNTIF(BT9:BT13,"✓"))</f>
        <v/>
      </c>
      <c r="BU14" s="611">
        <f>IF(BU$4&lt;&gt;1,"",COUNTIF(BU9:BU13,"✓"))</f>
        <v/>
      </c>
      <c r="BV14" s="611">
        <f>IF(BV$4&lt;&gt;1,"",COUNTIF(BV9:BV13,"✓"))</f>
        <v/>
      </c>
      <c r="BW14" s="611">
        <f>IF(BW$4&lt;&gt;1,"",COUNTIF(BW9:BW13,"✓"))</f>
        <v/>
      </c>
      <c r="BX14" s="611">
        <f>IF(BX$4&lt;&gt;1,"",COUNTIF(BX9:BX13,"✓"))</f>
        <v/>
      </c>
      <c r="BY14" s="611">
        <f>IF(BY$4&lt;&gt;1,"",COUNTIF(BY9:BY13,"✓"))</f>
        <v/>
      </c>
      <c r="BZ14" s="611">
        <f>IF(BZ$4&lt;&gt;1,"",COUNTIF(BZ9:BZ13,"✓"))</f>
        <v/>
      </c>
      <c r="CA14" s="611">
        <f>IF(CA$4&lt;&gt;1,"",COUNTIF(CA9:CA13,"✓"))</f>
        <v/>
      </c>
      <c r="CB14" s="611">
        <f>IF(CB$4&lt;&gt;1,"",COUNTIF(CB9:CB13,"✓"))</f>
        <v/>
      </c>
      <c r="CC14" s="611">
        <f>IF(CC$4&lt;&gt;1,"",COUNTIF(CC9:CC13,"✓"))</f>
        <v/>
      </c>
      <c r="CD14" s="611">
        <f>IF(CD$4&lt;&gt;1,"",COUNTIF(CD9:CD13,"✓"))</f>
        <v/>
      </c>
      <c r="CE14" s="611">
        <f>IF(CE$4&lt;&gt;1,"",COUNTIF(CE9:CE13,"✓"))</f>
        <v/>
      </c>
      <c r="CF14" s="611">
        <f>IF(CF$4&lt;&gt;1,"",COUNTIF(CF9:CF13,"✓"))</f>
        <v/>
      </c>
      <c r="CG14" s="611">
        <f>IF(CG$4&lt;&gt;1,"",COUNTIF(CG9:CG13,"✓"))</f>
        <v/>
      </c>
      <c r="CH14" s="611">
        <f>IF(CH$4&lt;&gt;1,"",COUNTIF(CH9:CH13,"✓"))</f>
        <v/>
      </c>
      <c r="CI14" s="611">
        <f>IF(CI$4&lt;&gt;1,"",COUNTIF(CI9:CI13,"✓"))</f>
        <v/>
      </c>
      <c r="CJ14" s="611">
        <f>IF(CJ$4&lt;&gt;1,"",COUNTIF(CJ9:CJ13,"✓"))</f>
        <v/>
      </c>
      <c r="CK14" s="611">
        <f>IF(CK$4&lt;&gt;1,"",COUNTIF(CK9:CK13,"✓"))</f>
        <v/>
      </c>
      <c r="CL14" s="611">
        <f>IF(CL$4&lt;&gt;1,"",COUNTIF(CL9:CL13,"✓"))</f>
        <v/>
      </c>
      <c r="CM14" s="611">
        <f>IF(CM$4&lt;&gt;1,"",COUNTIF(CM9:CM13,"✓"))</f>
        <v/>
      </c>
      <c r="CN14" s="611">
        <f>IF(CN$4&lt;&gt;1,"",COUNTIF(CN9:CN13,"✓"))</f>
        <v/>
      </c>
      <c r="CO14" s="611">
        <f>IF(CO$4&lt;&gt;1,"",COUNTIF(CO9:CO13,"✓"))</f>
        <v/>
      </c>
      <c r="CP14" s="611">
        <f>IF(CP$4&lt;&gt;1,"",COUNTIF(CP9:CP13,"✓"))</f>
        <v/>
      </c>
      <c r="CQ14" s="611">
        <f>IF(CQ$4&lt;&gt;1,"",COUNTIF(CQ9:CQ13,"✓"))</f>
        <v/>
      </c>
      <c r="CR14" s="611">
        <f>IF(CR$4&lt;&gt;1,"",COUNTIF(CR9:CR13,"✓"))</f>
        <v/>
      </c>
      <c r="CS14" s="611">
        <f>IF(CS$4&lt;&gt;1,"",COUNTIF(CS9:CS13,"✓"))</f>
        <v/>
      </c>
      <c r="CT14" s="611">
        <f>IF(CT$4&lt;&gt;1,"",COUNTIF(CT9:CT13,"✓"))</f>
        <v/>
      </c>
      <c r="CU14" s="611">
        <f>IF(CU$4&lt;&gt;1,"",COUNTIF(CU9:CU13,"✓"))</f>
        <v/>
      </c>
      <c r="CV14" s="611">
        <f>IF(CV$4&lt;&gt;1,"",COUNTIF(CV9:CV13,"✓"))</f>
        <v/>
      </c>
      <c r="CW14" s="611">
        <f>IF(CW$4&lt;&gt;1,"",COUNTIF(CW9:CW13,"✓"))</f>
        <v/>
      </c>
      <c r="CX14" s="611">
        <f>IF(CX$4&lt;&gt;1,"",COUNTIF(CX9:CX13,"✓"))</f>
        <v/>
      </c>
      <c r="CY14" s="612">
        <f>SUM(CY9:CY13)</f>
        <v/>
      </c>
      <c r="CZ14" s="613">
        <f>SUM(CZ9:CZ13)</f>
        <v/>
      </c>
      <c r="DA14" s="614">
        <f>IFERROR(AVERAGE(DA9:DA13),"")</f>
        <v/>
      </c>
      <c r="DB14" s="610">
        <f>IF(DB$4&lt;&gt;1,"",COUNTIF(DB9:DB13,"✓"))</f>
        <v/>
      </c>
      <c r="DC14" s="611">
        <f>IF(DC$4&lt;&gt;1,"",COUNTIF(DC9:DC13,"✓"))</f>
        <v/>
      </c>
      <c r="DD14" s="611">
        <f>IF(DD$4&lt;&gt;1,"",COUNTIF(DD9:DD13,"✓"))</f>
        <v/>
      </c>
      <c r="DE14" s="611">
        <f>IF(DE$4&lt;&gt;1,"",COUNTIF(DE9:DE13,"✓"))</f>
        <v/>
      </c>
      <c r="DF14" s="611">
        <f>IF(DF$4&lt;&gt;1,"",COUNTIF(DF9:DF13,"✓"))</f>
        <v/>
      </c>
      <c r="DG14" s="611">
        <f>IF(DG$4&lt;&gt;1,"",COUNTIF(DG9:DG13,"✓"))</f>
        <v/>
      </c>
      <c r="DH14" s="611">
        <f>IF(DH$4&lt;&gt;1,"",COUNTIF(DH9:DH13,"✓"))</f>
        <v/>
      </c>
      <c r="DI14" s="611">
        <f>IF(DI$4&lt;&gt;1,"",COUNTIF(DI9:DI13,"✓"))</f>
        <v/>
      </c>
      <c r="DJ14" s="611">
        <f>IF(DJ$4&lt;&gt;1,"",COUNTIF(DJ9:DJ13,"✓"))</f>
        <v/>
      </c>
      <c r="DK14" s="611">
        <f>IF(DK$4&lt;&gt;1,"",COUNTIF(DK9:DK13,"✓"))</f>
        <v/>
      </c>
      <c r="DL14" s="611">
        <f>IF(DL$4&lt;&gt;1,"",COUNTIF(DL9:DL13,"✓"))</f>
        <v/>
      </c>
      <c r="DM14" s="611">
        <f>IF(DM$4&lt;&gt;1,"",COUNTIF(DM9:DM13,"✓"))</f>
        <v/>
      </c>
      <c r="DN14" s="611">
        <f>IF(DN$4&lt;&gt;1,"",COUNTIF(DN9:DN13,"✓"))</f>
        <v/>
      </c>
      <c r="DO14" s="611">
        <f>IF(DO$4&lt;&gt;1,"",COUNTIF(DO9:DO13,"✓"))</f>
        <v/>
      </c>
      <c r="DP14" s="611">
        <f>IF(DP$4&lt;&gt;1,"",COUNTIF(DP9:DP13,"✓"))</f>
        <v/>
      </c>
      <c r="DQ14" s="611">
        <f>IF(DQ$4&lt;&gt;1,"",COUNTIF(DQ9:DQ13,"✓"))</f>
        <v/>
      </c>
      <c r="DR14" s="611">
        <f>IF(DR$4&lt;&gt;1,"",COUNTIF(DR9:DR13,"✓"))</f>
        <v/>
      </c>
      <c r="DS14" s="611">
        <f>IF(DS$4&lt;&gt;1,"",COUNTIF(DS9:DS13,"✓"))</f>
        <v/>
      </c>
      <c r="DT14" s="611">
        <f>IF(DT$4&lt;&gt;1,"",COUNTIF(DT9:DT13,"✓"))</f>
        <v/>
      </c>
      <c r="DU14" s="611">
        <f>IF(DU$4&lt;&gt;1,"",COUNTIF(DU9:DU13,"✓"))</f>
        <v/>
      </c>
      <c r="DV14" s="611">
        <f>IF(DV$4&lt;&gt;1,"",COUNTIF(DV9:DV13,"✓"))</f>
        <v/>
      </c>
      <c r="DW14" s="611">
        <f>IF(DW$4&lt;&gt;1,"",COUNTIF(DW9:DW13,"✓"))</f>
        <v/>
      </c>
      <c r="DX14" s="611">
        <f>IF(DX$4&lt;&gt;1,"",COUNTIF(DX9:DX13,"✓"))</f>
        <v/>
      </c>
      <c r="DY14" s="611">
        <f>IF(DY$4&lt;&gt;1,"",COUNTIF(DY9:DY13,"✓"))</f>
        <v/>
      </c>
      <c r="DZ14" s="611">
        <f>IF(DZ$4&lt;&gt;1,"",COUNTIF(DZ9:DZ13,"✓"))</f>
        <v/>
      </c>
      <c r="EA14" s="611">
        <f>IF(EA$4&lt;&gt;1,"",COUNTIF(EA9:EA13,"✓"))</f>
        <v/>
      </c>
      <c r="EB14" s="611">
        <f>IF(EB$4&lt;&gt;1,"",COUNTIF(EB9:EB13,"✓"))</f>
        <v/>
      </c>
      <c r="EC14" s="611">
        <f>IF(EC$4&lt;&gt;1,"",COUNTIF(EC9:EC13,"✓"))</f>
        <v/>
      </c>
      <c r="ED14" s="611">
        <f>IF(ED$4&lt;&gt;1,"",COUNTIF(ED9:ED13,"✓"))</f>
        <v/>
      </c>
      <c r="EE14" s="611">
        <f>IF(EE$4&lt;&gt;1,"",COUNTIF(EE9:EE13,"✓"))</f>
        <v/>
      </c>
      <c r="EF14" s="611">
        <f>IF(EF$4&lt;&gt;1,"",COUNTIF(EF9:EF13,"✓"))</f>
        <v/>
      </c>
      <c r="EG14" s="612">
        <f>SUM(EG9:EG13)</f>
        <v/>
      </c>
      <c r="EH14" s="613">
        <f>SUM(EH9:EH13)</f>
        <v/>
      </c>
      <c r="EI14" s="614">
        <f>IFERROR(AVERAGE(EI9:EI13),"")</f>
        <v/>
      </c>
      <c r="EJ14" s="610">
        <f>IF(EJ$4&lt;&gt;1,"",COUNTIF(EJ9:EJ13,"✓"))</f>
        <v/>
      </c>
      <c r="EK14" s="611">
        <f>IF(EK$4&lt;&gt;1,"",COUNTIF(EK9:EK13,"✓"))</f>
        <v/>
      </c>
      <c r="EL14" s="611">
        <f>IF(EL$4&lt;&gt;1,"",COUNTIF(EL9:EL13,"✓"))</f>
        <v/>
      </c>
      <c r="EM14" s="611">
        <f>IF(EM$4&lt;&gt;1,"",COUNTIF(EM9:EM13,"✓"))</f>
        <v/>
      </c>
      <c r="EN14" s="611">
        <f>IF(EN$4&lt;&gt;1,"",COUNTIF(EN9:EN13,"✓"))</f>
        <v/>
      </c>
      <c r="EO14" s="611">
        <f>IF(EO$4&lt;&gt;1,"",COUNTIF(EO9:EO13,"✓"))</f>
        <v/>
      </c>
      <c r="EP14" s="611">
        <f>IF(EP$4&lt;&gt;1,"",COUNTIF(EP9:EP13,"✓"))</f>
        <v/>
      </c>
      <c r="EQ14" s="611">
        <f>IF(EQ$4&lt;&gt;1,"",COUNTIF(EQ9:EQ13,"✓"))</f>
        <v/>
      </c>
      <c r="ER14" s="611">
        <f>IF(ER$4&lt;&gt;1,"",COUNTIF(ER9:ER13,"✓"))</f>
        <v/>
      </c>
      <c r="ES14" s="611">
        <f>IF(ES$4&lt;&gt;1,"",COUNTIF(ES9:ES13,"✓"))</f>
        <v/>
      </c>
      <c r="ET14" s="611">
        <f>IF(ET$4&lt;&gt;1,"",COUNTIF(ET9:ET13,"✓"))</f>
        <v/>
      </c>
      <c r="EU14" s="611">
        <f>IF(EU$4&lt;&gt;1,"",COUNTIF(EU9:EU13,"✓"))</f>
        <v/>
      </c>
      <c r="EV14" s="611">
        <f>IF(EV$4&lt;&gt;1,"",COUNTIF(EV9:EV13,"✓"))</f>
        <v/>
      </c>
      <c r="EW14" s="611">
        <f>IF(EW$4&lt;&gt;1,"",COUNTIF(EW9:EW13,"✓"))</f>
        <v/>
      </c>
      <c r="EX14" s="611">
        <f>IF(EX$4&lt;&gt;1,"",COUNTIF(EX9:EX13,"✓"))</f>
        <v/>
      </c>
      <c r="EY14" s="611">
        <f>IF(EY$4&lt;&gt;1,"",COUNTIF(EY9:EY13,"✓"))</f>
        <v/>
      </c>
      <c r="EZ14" s="611">
        <f>IF(EZ$4&lt;&gt;1,"",COUNTIF(EZ9:EZ13,"✓"))</f>
        <v/>
      </c>
      <c r="FA14" s="611">
        <f>IF(FA$4&lt;&gt;1,"",COUNTIF(FA9:FA13,"✓"))</f>
        <v/>
      </c>
      <c r="FB14" s="611">
        <f>IF(FB$4&lt;&gt;1,"",COUNTIF(FB9:FB13,"✓"))</f>
        <v/>
      </c>
      <c r="FC14" s="611">
        <f>IF(FC$4&lt;&gt;1,"",COUNTIF(FC9:FC13,"✓"))</f>
        <v/>
      </c>
      <c r="FD14" s="611">
        <f>IF(FD$4&lt;&gt;1,"",COUNTIF(FD9:FD13,"✓"))</f>
        <v/>
      </c>
      <c r="FE14" s="611">
        <f>IF(FE$4&lt;&gt;1,"",COUNTIF(FE9:FE13,"✓"))</f>
        <v/>
      </c>
      <c r="FF14" s="611">
        <f>IF(FF$4&lt;&gt;1,"",COUNTIF(FF9:FF13,"✓"))</f>
        <v/>
      </c>
      <c r="FG14" s="611">
        <f>IF(FG$4&lt;&gt;1,"",COUNTIF(FG9:FG13,"✓"))</f>
        <v/>
      </c>
      <c r="FH14" s="611">
        <f>IF(FH$4&lt;&gt;1,"",COUNTIF(FH9:FH13,"✓"))</f>
        <v/>
      </c>
      <c r="FI14" s="611">
        <f>IF(FI$4&lt;&gt;1,"",COUNTIF(FI9:FI13,"✓"))</f>
        <v/>
      </c>
      <c r="FJ14" s="611">
        <f>IF(FJ$4&lt;&gt;1,"",COUNTIF(FJ9:FJ13,"✓"))</f>
        <v/>
      </c>
      <c r="FK14" s="611">
        <f>IF(FK$4&lt;&gt;1,"",COUNTIF(FK9:FK13,"✓"))</f>
        <v/>
      </c>
      <c r="FL14" s="611">
        <f>IF(FL$4&lt;&gt;1,"",COUNTIF(FL9:FL13,"✓"))</f>
        <v/>
      </c>
      <c r="FM14" s="611">
        <f>IF(FM$4&lt;&gt;1,"",COUNTIF(FM9:FM13,"✓"))</f>
        <v/>
      </c>
      <c r="FN14" s="611">
        <f>IF(FN$4&lt;&gt;1,"",COUNTIF(FN9:FN13,"✓"))</f>
        <v/>
      </c>
      <c r="FO14" s="612">
        <f>SUM(FO9:FO13)</f>
        <v/>
      </c>
      <c r="FP14" s="613">
        <f>SUM(FP9:FP13)</f>
        <v/>
      </c>
      <c r="FQ14" s="614">
        <f>IFERROR(AVERAGE(FQ9:FQ13),"")</f>
        <v/>
      </c>
      <c r="FR14" s="610">
        <f>IF(FR$4&lt;&gt;1,"",COUNTIF(FR9:FR13,"✓"))</f>
        <v/>
      </c>
      <c r="FS14" s="611">
        <f>IF(FS$4&lt;&gt;1,"",COUNTIF(FS9:FS13,"✓"))</f>
        <v/>
      </c>
      <c r="FT14" s="611">
        <f>IF(FT$4&lt;&gt;1,"",COUNTIF(FT9:FT13,"✓"))</f>
        <v/>
      </c>
      <c r="FU14" s="611">
        <f>IF(FU$4&lt;&gt;1,"",COUNTIF(FU9:FU13,"✓"))</f>
        <v/>
      </c>
      <c r="FV14" s="611">
        <f>IF(FV$4&lt;&gt;1,"",COUNTIF(FV9:FV13,"✓"))</f>
        <v/>
      </c>
      <c r="FW14" s="611">
        <f>IF(FW$4&lt;&gt;1,"",COUNTIF(FW9:FW13,"✓"))</f>
        <v/>
      </c>
      <c r="FX14" s="611">
        <f>IF(FX$4&lt;&gt;1,"",COUNTIF(FX9:FX13,"✓"))</f>
        <v/>
      </c>
      <c r="FY14" s="611">
        <f>IF(FY$4&lt;&gt;1,"",COUNTIF(FY9:FY13,"✓"))</f>
        <v/>
      </c>
      <c r="FZ14" s="611">
        <f>IF(FZ$4&lt;&gt;1,"",COUNTIF(FZ9:FZ13,"✓"))</f>
        <v/>
      </c>
      <c r="GA14" s="611">
        <f>IF(GA$4&lt;&gt;1,"",COUNTIF(GA9:GA13,"✓"))</f>
        <v/>
      </c>
      <c r="GB14" s="611">
        <f>IF(GB$4&lt;&gt;1,"",COUNTIF(GB9:GB13,"✓"))</f>
        <v/>
      </c>
      <c r="GC14" s="611">
        <f>IF(GC$4&lt;&gt;1,"",COUNTIF(GC9:GC13,"✓"))</f>
        <v/>
      </c>
      <c r="GD14" s="611">
        <f>IF(GD$4&lt;&gt;1,"",COUNTIF(GD9:GD13,"✓"))</f>
        <v/>
      </c>
      <c r="GE14" s="611">
        <f>IF(GE$4&lt;&gt;1,"",COUNTIF(GE9:GE13,"✓"))</f>
        <v/>
      </c>
      <c r="GF14" s="611">
        <f>IF(GF$4&lt;&gt;1,"",COUNTIF(GF9:GF13,"✓"))</f>
        <v/>
      </c>
      <c r="GG14" s="611">
        <f>IF(GG$4&lt;&gt;1,"",COUNTIF(GG9:GG13,"✓"))</f>
        <v/>
      </c>
      <c r="GH14" s="611">
        <f>IF(GH$4&lt;&gt;1,"",COUNTIF(GH9:GH13,"✓"))</f>
        <v/>
      </c>
      <c r="GI14" s="611">
        <f>IF(GI$4&lt;&gt;1,"",COUNTIF(GI9:GI13,"✓"))</f>
        <v/>
      </c>
      <c r="GJ14" s="611">
        <f>IF(GJ$4&lt;&gt;1,"",COUNTIF(GJ9:GJ13,"✓"))</f>
        <v/>
      </c>
      <c r="GK14" s="611">
        <f>IF(GK$4&lt;&gt;1,"",COUNTIF(GK9:GK13,"✓"))</f>
        <v/>
      </c>
      <c r="GL14" s="611">
        <f>IF(GL$4&lt;&gt;1,"",COUNTIF(GL9:GL13,"✓"))</f>
        <v/>
      </c>
      <c r="GM14" s="611">
        <f>IF(GM$4&lt;&gt;1,"",COUNTIF(GM9:GM13,"✓"))</f>
        <v/>
      </c>
      <c r="GN14" s="611">
        <f>IF(GN$4&lt;&gt;1,"",COUNTIF(GN9:GN13,"✓"))</f>
        <v/>
      </c>
      <c r="GO14" s="611">
        <f>IF(GO$4&lt;&gt;1,"",COUNTIF(GO9:GO13,"✓"))</f>
        <v/>
      </c>
      <c r="GP14" s="611">
        <f>IF(GP$4&lt;&gt;1,"",COUNTIF(GP9:GP13,"✓"))</f>
        <v/>
      </c>
      <c r="GQ14" s="611">
        <f>IF(GQ$4&lt;&gt;1,"",COUNTIF(GQ9:GQ13,"✓"))</f>
        <v/>
      </c>
      <c r="GR14" s="611">
        <f>IF(GR$4&lt;&gt;1,"",COUNTIF(GR9:GR13,"✓"))</f>
        <v/>
      </c>
      <c r="GS14" s="611">
        <f>IF(GS$4&lt;&gt;1,"",COUNTIF(GS9:GS13,"✓"))</f>
        <v/>
      </c>
      <c r="GT14" s="611">
        <f>IF(GT$4&lt;&gt;1,"",COUNTIF(GT9:GT13,"✓"))</f>
        <v/>
      </c>
      <c r="GU14" s="611">
        <f>IF(GU$4&lt;&gt;1,"",COUNTIF(GU9:GU13,"✓"))</f>
        <v/>
      </c>
      <c r="GV14" s="611">
        <f>IF(GV$4&lt;&gt;1,"",COUNTIF(GV9:GV13,"✓"))</f>
        <v/>
      </c>
      <c r="GW14" s="612">
        <f>SUM(GW9:GW13)</f>
        <v/>
      </c>
      <c r="GX14" s="613">
        <f>SUM(GX9:GX13)</f>
        <v/>
      </c>
      <c r="GY14" s="614">
        <f>IFERROR(AVERAGE(GY9:GY13),"")</f>
        <v/>
      </c>
    </row>
    <row r="15">
      <c r="A15" s="609" t="inlineStr">
        <is>
          <t>ไม่ได้ทำ (คน)</t>
        </is>
      </c>
      <c r="B15" s="184" t="n"/>
      <c r="C15" s="184" t="n"/>
      <c r="D15" s="610">
        <f>IF(D$4&lt;&gt;1,"",COUNTIF(D9:D13,"✗"))</f>
        <v/>
      </c>
      <c r="E15" s="611">
        <f>IF(E$4&lt;&gt;1,"",COUNTIF(E9:E13,"✗"))</f>
        <v/>
      </c>
      <c r="F15" s="611">
        <f>IF(F$4&lt;&gt;1,"",COUNTIF(F9:F13,"✗"))</f>
        <v/>
      </c>
      <c r="G15" s="611">
        <f>IF(G$4&lt;&gt;1,"",COUNTIF(G9:G13,"✗"))</f>
        <v/>
      </c>
      <c r="H15" s="611">
        <f>IF(H$4&lt;&gt;1,"",COUNTIF(H9:H13,"✗"))</f>
        <v/>
      </c>
      <c r="I15" s="611">
        <f>IF(I$4&lt;&gt;1,"",COUNTIF(I9:I13,"✗"))</f>
        <v/>
      </c>
      <c r="J15" s="611">
        <f>IF(J$4&lt;&gt;1,"",COUNTIF(J9:J13,"✗"))</f>
        <v/>
      </c>
      <c r="K15" s="611">
        <f>IF(K$4&lt;&gt;1,"",COUNTIF(K9:K13,"✗"))</f>
        <v/>
      </c>
      <c r="L15" s="611">
        <f>IF(L$4&lt;&gt;1,"",COUNTIF(L9:L13,"✗"))</f>
        <v/>
      </c>
      <c r="M15" s="611">
        <f>IF(M$4&lt;&gt;1,"",COUNTIF(M9:M13,"✗"))</f>
        <v/>
      </c>
      <c r="N15" s="611">
        <f>IF(N$4&lt;&gt;1,"",COUNTIF(N9:N13,"✗"))</f>
        <v/>
      </c>
      <c r="O15" s="611">
        <f>IF(O$4&lt;&gt;1,"",COUNTIF(O9:O13,"✗"))</f>
        <v/>
      </c>
      <c r="P15" s="611">
        <f>IF(P$4&lt;&gt;1,"",COUNTIF(P9:P13,"✗"))</f>
        <v/>
      </c>
      <c r="Q15" s="611">
        <f>IF(Q$4&lt;&gt;1,"",COUNTIF(Q9:Q13,"✗"))</f>
        <v/>
      </c>
      <c r="R15" s="611">
        <f>IF(R$4&lt;&gt;1,"",COUNTIF(R9:R13,"✗"))</f>
        <v/>
      </c>
      <c r="S15" s="611">
        <f>IF(S$4&lt;&gt;1,"",COUNTIF(S9:S13,"✗"))</f>
        <v/>
      </c>
      <c r="T15" s="611">
        <f>IF(T$4&lt;&gt;1,"",COUNTIF(T9:T13,"✗"))</f>
        <v/>
      </c>
      <c r="U15" s="611">
        <f>IF(U$4&lt;&gt;1,"",COUNTIF(U9:U13,"✗"))</f>
        <v/>
      </c>
      <c r="V15" s="611">
        <f>IF(V$4&lt;&gt;1,"",COUNTIF(V9:V13,"✗"))</f>
        <v/>
      </c>
      <c r="W15" s="611">
        <f>IF(W$4&lt;&gt;1,"",COUNTIF(W9:W13,"✗"))</f>
        <v/>
      </c>
      <c r="X15" s="611">
        <f>IF(X$4&lt;&gt;1,"",COUNTIF(X9:X13,"✗"))</f>
        <v/>
      </c>
      <c r="Y15" s="611">
        <f>IF(Y$4&lt;&gt;1,"",COUNTIF(Y9:Y13,"✗"))</f>
        <v/>
      </c>
      <c r="Z15" s="611">
        <f>IF(Z$4&lt;&gt;1,"",COUNTIF(Z9:Z13,"✗"))</f>
        <v/>
      </c>
      <c r="AA15" s="611">
        <f>IF(AA$4&lt;&gt;1,"",COUNTIF(AA9:AA13,"✗"))</f>
        <v/>
      </c>
      <c r="AB15" s="611">
        <f>IF(AB$4&lt;&gt;1,"",COUNTIF(AB9:AB13,"✗"))</f>
        <v/>
      </c>
      <c r="AC15" s="611">
        <f>IF(AC$4&lt;&gt;1,"",COUNTIF(AC9:AC13,"✗"))</f>
        <v/>
      </c>
      <c r="AD15" s="611">
        <f>IF(AD$4&lt;&gt;1,"",COUNTIF(AD9:AD13,"✗"))</f>
        <v/>
      </c>
      <c r="AE15" s="611">
        <f>IF(AE$4&lt;&gt;1,"",COUNTIF(AE9:AE13,"✗"))</f>
        <v/>
      </c>
      <c r="AF15" s="611">
        <f>IF(AF$4&lt;&gt;1,"",COUNTIF(AF9:AF13,"✗"))</f>
        <v/>
      </c>
      <c r="AG15" s="611">
        <f>IF(AG$4&lt;&gt;1,"",COUNTIF(AG9:AG13,"✗"))</f>
        <v/>
      </c>
      <c r="AH15" s="611">
        <f>IF(AH$4&lt;&gt;1,"",COUNTIF(AH9:AH13,"✗"))</f>
        <v/>
      </c>
      <c r="AI15" s="612" t="n"/>
      <c r="AJ15" s="613" t="n"/>
      <c r="AK15" s="614" t="n"/>
      <c r="AL15" s="610">
        <f>IF(AL$4&lt;&gt;1,"",COUNTIF(AL9:AL13,"✗"))</f>
        <v/>
      </c>
      <c r="AM15" s="611">
        <f>IF(AM$4&lt;&gt;1,"",COUNTIF(AM9:AM13,"✗"))</f>
        <v/>
      </c>
      <c r="AN15" s="611">
        <f>IF(AN$4&lt;&gt;1,"",COUNTIF(AN9:AN13,"✗"))</f>
        <v/>
      </c>
      <c r="AO15" s="611">
        <f>IF(AO$4&lt;&gt;1,"",COUNTIF(AO9:AO13,"✗"))</f>
        <v/>
      </c>
      <c r="AP15" s="611">
        <f>IF(AP$4&lt;&gt;1,"",COUNTIF(AP9:AP13,"✗"))</f>
        <v/>
      </c>
      <c r="AQ15" s="611">
        <f>IF(AQ$4&lt;&gt;1,"",COUNTIF(AQ9:AQ13,"✗"))</f>
        <v/>
      </c>
      <c r="AR15" s="611">
        <f>IF(AR$4&lt;&gt;1,"",COUNTIF(AR9:AR13,"✗"))</f>
        <v/>
      </c>
      <c r="AS15" s="611">
        <f>IF(AS$4&lt;&gt;1,"",COUNTIF(AS9:AS13,"✗"))</f>
        <v/>
      </c>
      <c r="AT15" s="611">
        <f>IF(AT$4&lt;&gt;1,"",COUNTIF(AT9:AT13,"✗"))</f>
        <v/>
      </c>
      <c r="AU15" s="611">
        <f>IF(AU$4&lt;&gt;1,"",COUNTIF(AU9:AU13,"✗"))</f>
        <v/>
      </c>
      <c r="AV15" s="611">
        <f>IF(AV$4&lt;&gt;1,"",COUNTIF(AV9:AV13,"✗"))</f>
        <v/>
      </c>
      <c r="AW15" s="611">
        <f>IF(AW$4&lt;&gt;1,"",COUNTIF(AW9:AW13,"✗"))</f>
        <v/>
      </c>
      <c r="AX15" s="611">
        <f>IF(AX$4&lt;&gt;1,"",COUNTIF(AX9:AX13,"✗"))</f>
        <v/>
      </c>
      <c r="AY15" s="611">
        <f>IF(AY$4&lt;&gt;1,"",COUNTIF(AY9:AY13,"✗"))</f>
        <v/>
      </c>
      <c r="AZ15" s="611">
        <f>IF(AZ$4&lt;&gt;1,"",COUNTIF(AZ9:AZ13,"✗"))</f>
        <v/>
      </c>
      <c r="BA15" s="611">
        <f>IF(BA$4&lt;&gt;1,"",COUNTIF(BA9:BA13,"✗"))</f>
        <v/>
      </c>
      <c r="BB15" s="611">
        <f>IF(BB$4&lt;&gt;1,"",COUNTIF(BB9:BB13,"✗"))</f>
        <v/>
      </c>
      <c r="BC15" s="611">
        <f>IF(BC$4&lt;&gt;1,"",COUNTIF(BC9:BC13,"✗"))</f>
        <v/>
      </c>
      <c r="BD15" s="611">
        <f>IF(BD$4&lt;&gt;1,"",COUNTIF(BD9:BD13,"✗"))</f>
        <v/>
      </c>
      <c r="BE15" s="611">
        <f>IF(BE$4&lt;&gt;1,"",COUNTIF(BE9:BE13,"✗"))</f>
        <v/>
      </c>
      <c r="BF15" s="611">
        <f>IF(BF$4&lt;&gt;1,"",COUNTIF(BF9:BF13,"✗"))</f>
        <v/>
      </c>
      <c r="BG15" s="611">
        <f>IF(BG$4&lt;&gt;1,"",COUNTIF(BG9:BG13,"✗"))</f>
        <v/>
      </c>
      <c r="BH15" s="611">
        <f>IF(BH$4&lt;&gt;1,"",COUNTIF(BH9:BH13,"✗"))</f>
        <v/>
      </c>
      <c r="BI15" s="611">
        <f>IF(BI$4&lt;&gt;1,"",COUNTIF(BI9:BI13,"✗"))</f>
        <v/>
      </c>
      <c r="BJ15" s="611">
        <f>IF(BJ$4&lt;&gt;1,"",COUNTIF(BJ9:BJ13,"✗"))</f>
        <v/>
      </c>
      <c r="BK15" s="611">
        <f>IF(BK$4&lt;&gt;1,"",COUNTIF(BK9:BK13,"✗"))</f>
        <v/>
      </c>
      <c r="BL15" s="611">
        <f>IF(BL$4&lt;&gt;1,"",COUNTIF(BL9:BL13,"✗"))</f>
        <v/>
      </c>
      <c r="BM15" s="611">
        <f>IF(BM$4&lt;&gt;1,"",COUNTIF(BM9:BM13,"✗"))</f>
        <v/>
      </c>
      <c r="BN15" s="611">
        <f>IF(BN$4&lt;&gt;1,"",COUNTIF(BN9:BN13,"✗"))</f>
        <v/>
      </c>
      <c r="BO15" s="611">
        <f>IF(BO$4&lt;&gt;1,"",COUNTIF(BO9:BO13,"✗"))</f>
        <v/>
      </c>
      <c r="BP15" s="611">
        <f>IF(BP$4&lt;&gt;1,"",COUNTIF(BP9:BP13,"✗"))</f>
        <v/>
      </c>
      <c r="BQ15" s="612" t="n"/>
      <c r="BR15" s="613" t="n"/>
      <c r="BS15" s="614" t="n"/>
      <c r="BT15" s="610">
        <f>IF(BT$4&lt;&gt;1,"",COUNTIF(BT9:BT13,"✗"))</f>
        <v/>
      </c>
      <c r="BU15" s="611">
        <f>IF(BU$4&lt;&gt;1,"",COUNTIF(BU9:BU13,"✗"))</f>
        <v/>
      </c>
      <c r="BV15" s="611">
        <f>IF(BV$4&lt;&gt;1,"",COUNTIF(BV9:BV13,"✗"))</f>
        <v/>
      </c>
      <c r="BW15" s="611">
        <f>IF(BW$4&lt;&gt;1,"",COUNTIF(BW9:BW13,"✗"))</f>
        <v/>
      </c>
      <c r="BX15" s="611">
        <f>IF(BX$4&lt;&gt;1,"",COUNTIF(BX9:BX13,"✗"))</f>
        <v/>
      </c>
      <c r="BY15" s="611">
        <f>IF(BY$4&lt;&gt;1,"",COUNTIF(BY9:BY13,"✗"))</f>
        <v/>
      </c>
      <c r="BZ15" s="611">
        <f>IF(BZ$4&lt;&gt;1,"",COUNTIF(BZ9:BZ13,"✗"))</f>
        <v/>
      </c>
      <c r="CA15" s="611">
        <f>IF(CA$4&lt;&gt;1,"",COUNTIF(CA9:CA13,"✗"))</f>
        <v/>
      </c>
      <c r="CB15" s="611">
        <f>IF(CB$4&lt;&gt;1,"",COUNTIF(CB9:CB13,"✗"))</f>
        <v/>
      </c>
      <c r="CC15" s="611">
        <f>IF(CC$4&lt;&gt;1,"",COUNTIF(CC9:CC13,"✗"))</f>
        <v/>
      </c>
      <c r="CD15" s="611">
        <f>IF(CD$4&lt;&gt;1,"",COUNTIF(CD9:CD13,"✗"))</f>
        <v/>
      </c>
      <c r="CE15" s="611">
        <f>IF(CE$4&lt;&gt;1,"",COUNTIF(CE9:CE13,"✗"))</f>
        <v/>
      </c>
      <c r="CF15" s="611">
        <f>IF(CF$4&lt;&gt;1,"",COUNTIF(CF9:CF13,"✗"))</f>
        <v/>
      </c>
      <c r="CG15" s="611">
        <f>IF(CG$4&lt;&gt;1,"",COUNTIF(CG9:CG13,"✗"))</f>
        <v/>
      </c>
      <c r="CH15" s="611">
        <f>IF(CH$4&lt;&gt;1,"",COUNTIF(CH9:CH13,"✗"))</f>
        <v/>
      </c>
      <c r="CI15" s="611">
        <f>IF(CI$4&lt;&gt;1,"",COUNTIF(CI9:CI13,"✗"))</f>
        <v/>
      </c>
      <c r="CJ15" s="611">
        <f>IF(CJ$4&lt;&gt;1,"",COUNTIF(CJ9:CJ13,"✗"))</f>
        <v/>
      </c>
      <c r="CK15" s="611">
        <f>IF(CK$4&lt;&gt;1,"",COUNTIF(CK9:CK13,"✗"))</f>
        <v/>
      </c>
      <c r="CL15" s="611">
        <f>IF(CL$4&lt;&gt;1,"",COUNTIF(CL9:CL13,"✗"))</f>
        <v/>
      </c>
      <c r="CM15" s="611">
        <f>IF(CM$4&lt;&gt;1,"",COUNTIF(CM9:CM13,"✗"))</f>
        <v/>
      </c>
      <c r="CN15" s="611">
        <f>IF(CN$4&lt;&gt;1,"",COUNTIF(CN9:CN13,"✗"))</f>
        <v/>
      </c>
      <c r="CO15" s="611">
        <f>IF(CO$4&lt;&gt;1,"",COUNTIF(CO9:CO13,"✗"))</f>
        <v/>
      </c>
      <c r="CP15" s="611">
        <f>IF(CP$4&lt;&gt;1,"",COUNTIF(CP9:CP13,"✗"))</f>
        <v/>
      </c>
      <c r="CQ15" s="611">
        <f>IF(CQ$4&lt;&gt;1,"",COUNTIF(CQ9:CQ13,"✗"))</f>
        <v/>
      </c>
      <c r="CR15" s="611">
        <f>IF(CR$4&lt;&gt;1,"",COUNTIF(CR9:CR13,"✗"))</f>
        <v/>
      </c>
      <c r="CS15" s="611">
        <f>IF(CS$4&lt;&gt;1,"",COUNTIF(CS9:CS13,"✗"))</f>
        <v/>
      </c>
      <c r="CT15" s="611">
        <f>IF(CT$4&lt;&gt;1,"",COUNTIF(CT9:CT13,"✗"))</f>
        <v/>
      </c>
      <c r="CU15" s="611">
        <f>IF(CU$4&lt;&gt;1,"",COUNTIF(CU9:CU13,"✗"))</f>
        <v/>
      </c>
      <c r="CV15" s="611">
        <f>IF(CV$4&lt;&gt;1,"",COUNTIF(CV9:CV13,"✗"))</f>
        <v/>
      </c>
      <c r="CW15" s="611">
        <f>IF(CW$4&lt;&gt;1,"",COUNTIF(CW9:CW13,"✗"))</f>
        <v/>
      </c>
      <c r="CX15" s="611">
        <f>IF(CX$4&lt;&gt;1,"",COUNTIF(CX9:CX13,"✗"))</f>
        <v/>
      </c>
      <c r="CY15" s="612" t="n"/>
      <c r="CZ15" s="613" t="n"/>
      <c r="DA15" s="614" t="n"/>
      <c r="DB15" s="610">
        <f>IF(DB$4&lt;&gt;1,"",COUNTIF(DB9:DB13,"✗"))</f>
        <v/>
      </c>
      <c r="DC15" s="611">
        <f>IF(DC$4&lt;&gt;1,"",COUNTIF(DC9:DC13,"✗"))</f>
        <v/>
      </c>
      <c r="DD15" s="611">
        <f>IF(DD$4&lt;&gt;1,"",COUNTIF(DD9:DD13,"✗"))</f>
        <v/>
      </c>
      <c r="DE15" s="611">
        <f>IF(DE$4&lt;&gt;1,"",COUNTIF(DE9:DE13,"✗"))</f>
        <v/>
      </c>
      <c r="DF15" s="611">
        <f>IF(DF$4&lt;&gt;1,"",COUNTIF(DF9:DF13,"✗"))</f>
        <v/>
      </c>
      <c r="DG15" s="611">
        <f>IF(DG$4&lt;&gt;1,"",COUNTIF(DG9:DG13,"✗"))</f>
        <v/>
      </c>
      <c r="DH15" s="611">
        <f>IF(DH$4&lt;&gt;1,"",COUNTIF(DH9:DH13,"✗"))</f>
        <v/>
      </c>
      <c r="DI15" s="611">
        <f>IF(DI$4&lt;&gt;1,"",COUNTIF(DI9:DI13,"✗"))</f>
        <v/>
      </c>
      <c r="DJ15" s="611">
        <f>IF(DJ$4&lt;&gt;1,"",COUNTIF(DJ9:DJ13,"✗"))</f>
        <v/>
      </c>
      <c r="DK15" s="611">
        <f>IF(DK$4&lt;&gt;1,"",COUNTIF(DK9:DK13,"✗"))</f>
        <v/>
      </c>
      <c r="DL15" s="611">
        <f>IF(DL$4&lt;&gt;1,"",COUNTIF(DL9:DL13,"✗"))</f>
        <v/>
      </c>
      <c r="DM15" s="611">
        <f>IF(DM$4&lt;&gt;1,"",COUNTIF(DM9:DM13,"✗"))</f>
        <v/>
      </c>
      <c r="DN15" s="611">
        <f>IF(DN$4&lt;&gt;1,"",COUNTIF(DN9:DN13,"✗"))</f>
        <v/>
      </c>
      <c r="DO15" s="611">
        <f>IF(DO$4&lt;&gt;1,"",COUNTIF(DO9:DO13,"✗"))</f>
        <v/>
      </c>
      <c r="DP15" s="611">
        <f>IF(DP$4&lt;&gt;1,"",COUNTIF(DP9:DP13,"✗"))</f>
        <v/>
      </c>
      <c r="DQ15" s="611">
        <f>IF(DQ$4&lt;&gt;1,"",COUNTIF(DQ9:DQ13,"✗"))</f>
        <v/>
      </c>
      <c r="DR15" s="611">
        <f>IF(DR$4&lt;&gt;1,"",COUNTIF(DR9:DR13,"✗"))</f>
        <v/>
      </c>
      <c r="DS15" s="611">
        <f>IF(DS$4&lt;&gt;1,"",COUNTIF(DS9:DS13,"✗"))</f>
        <v/>
      </c>
      <c r="DT15" s="611">
        <f>IF(DT$4&lt;&gt;1,"",COUNTIF(DT9:DT13,"✗"))</f>
        <v/>
      </c>
      <c r="DU15" s="611">
        <f>IF(DU$4&lt;&gt;1,"",COUNTIF(DU9:DU13,"✗"))</f>
        <v/>
      </c>
      <c r="DV15" s="611">
        <f>IF(DV$4&lt;&gt;1,"",COUNTIF(DV9:DV13,"✗"))</f>
        <v/>
      </c>
      <c r="DW15" s="611">
        <f>IF(DW$4&lt;&gt;1,"",COUNTIF(DW9:DW13,"✗"))</f>
        <v/>
      </c>
      <c r="DX15" s="611">
        <f>IF(DX$4&lt;&gt;1,"",COUNTIF(DX9:DX13,"✗"))</f>
        <v/>
      </c>
      <c r="DY15" s="611">
        <f>IF(DY$4&lt;&gt;1,"",COUNTIF(DY9:DY13,"✗"))</f>
        <v/>
      </c>
      <c r="DZ15" s="611">
        <f>IF(DZ$4&lt;&gt;1,"",COUNTIF(DZ9:DZ13,"✗"))</f>
        <v/>
      </c>
      <c r="EA15" s="611">
        <f>IF(EA$4&lt;&gt;1,"",COUNTIF(EA9:EA13,"✗"))</f>
        <v/>
      </c>
      <c r="EB15" s="611">
        <f>IF(EB$4&lt;&gt;1,"",COUNTIF(EB9:EB13,"✗"))</f>
        <v/>
      </c>
      <c r="EC15" s="611">
        <f>IF(EC$4&lt;&gt;1,"",COUNTIF(EC9:EC13,"✗"))</f>
        <v/>
      </c>
      <c r="ED15" s="611">
        <f>IF(ED$4&lt;&gt;1,"",COUNTIF(ED9:ED13,"✗"))</f>
        <v/>
      </c>
      <c r="EE15" s="611">
        <f>IF(EE$4&lt;&gt;1,"",COUNTIF(EE9:EE13,"✗"))</f>
        <v/>
      </c>
      <c r="EF15" s="611">
        <f>IF(EF$4&lt;&gt;1,"",COUNTIF(EF9:EF13,"✗"))</f>
        <v/>
      </c>
      <c r="EG15" s="612" t="n"/>
      <c r="EH15" s="613" t="n"/>
      <c r="EI15" s="614" t="n"/>
      <c r="EJ15" s="610">
        <f>IF(EJ$4&lt;&gt;1,"",COUNTIF(EJ9:EJ13,"✗"))</f>
        <v/>
      </c>
      <c r="EK15" s="611">
        <f>IF(EK$4&lt;&gt;1,"",COUNTIF(EK9:EK13,"✗"))</f>
        <v/>
      </c>
      <c r="EL15" s="611">
        <f>IF(EL$4&lt;&gt;1,"",COUNTIF(EL9:EL13,"✗"))</f>
        <v/>
      </c>
      <c r="EM15" s="611">
        <f>IF(EM$4&lt;&gt;1,"",COUNTIF(EM9:EM13,"✗"))</f>
        <v/>
      </c>
      <c r="EN15" s="611">
        <f>IF(EN$4&lt;&gt;1,"",COUNTIF(EN9:EN13,"✗"))</f>
        <v/>
      </c>
      <c r="EO15" s="611">
        <f>IF(EO$4&lt;&gt;1,"",COUNTIF(EO9:EO13,"✗"))</f>
        <v/>
      </c>
      <c r="EP15" s="611">
        <f>IF(EP$4&lt;&gt;1,"",COUNTIF(EP9:EP13,"✗"))</f>
        <v/>
      </c>
      <c r="EQ15" s="611">
        <f>IF(EQ$4&lt;&gt;1,"",COUNTIF(EQ9:EQ13,"✗"))</f>
        <v/>
      </c>
      <c r="ER15" s="611">
        <f>IF(ER$4&lt;&gt;1,"",COUNTIF(ER9:ER13,"✗"))</f>
        <v/>
      </c>
      <c r="ES15" s="611">
        <f>IF(ES$4&lt;&gt;1,"",COUNTIF(ES9:ES13,"✗"))</f>
        <v/>
      </c>
      <c r="ET15" s="611">
        <f>IF(ET$4&lt;&gt;1,"",COUNTIF(ET9:ET13,"✗"))</f>
        <v/>
      </c>
      <c r="EU15" s="611">
        <f>IF(EU$4&lt;&gt;1,"",COUNTIF(EU9:EU13,"✗"))</f>
        <v/>
      </c>
      <c r="EV15" s="611">
        <f>IF(EV$4&lt;&gt;1,"",COUNTIF(EV9:EV13,"✗"))</f>
        <v/>
      </c>
      <c r="EW15" s="611">
        <f>IF(EW$4&lt;&gt;1,"",COUNTIF(EW9:EW13,"✗"))</f>
        <v/>
      </c>
      <c r="EX15" s="611">
        <f>IF(EX$4&lt;&gt;1,"",COUNTIF(EX9:EX13,"✗"))</f>
        <v/>
      </c>
      <c r="EY15" s="611">
        <f>IF(EY$4&lt;&gt;1,"",COUNTIF(EY9:EY13,"✗"))</f>
        <v/>
      </c>
      <c r="EZ15" s="611">
        <f>IF(EZ$4&lt;&gt;1,"",COUNTIF(EZ9:EZ13,"✗"))</f>
        <v/>
      </c>
      <c r="FA15" s="611">
        <f>IF(FA$4&lt;&gt;1,"",COUNTIF(FA9:FA13,"✗"))</f>
        <v/>
      </c>
      <c r="FB15" s="611">
        <f>IF(FB$4&lt;&gt;1,"",COUNTIF(FB9:FB13,"✗"))</f>
        <v/>
      </c>
      <c r="FC15" s="611">
        <f>IF(FC$4&lt;&gt;1,"",COUNTIF(FC9:FC13,"✗"))</f>
        <v/>
      </c>
      <c r="FD15" s="611">
        <f>IF(FD$4&lt;&gt;1,"",COUNTIF(FD9:FD13,"✗"))</f>
        <v/>
      </c>
      <c r="FE15" s="611">
        <f>IF(FE$4&lt;&gt;1,"",COUNTIF(FE9:FE13,"✗"))</f>
        <v/>
      </c>
      <c r="FF15" s="611">
        <f>IF(FF$4&lt;&gt;1,"",COUNTIF(FF9:FF13,"✗"))</f>
        <v/>
      </c>
      <c r="FG15" s="611">
        <f>IF(FG$4&lt;&gt;1,"",COUNTIF(FG9:FG13,"✗"))</f>
        <v/>
      </c>
      <c r="FH15" s="611">
        <f>IF(FH$4&lt;&gt;1,"",COUNTIF(FH9:FH13,"✗"))</f>
        <v/>
      </c>
      <c r="FI15" s="611">
        <f>IF(FI$4&lt;&gt;1,"",COUNTIF(FI9:FI13,"✗"))</f>
        <v/>
      </c>
      <c r="FJ15" s="611">
        <f>IF(FJ$4&lt;&gt;1,"",COUNTIF(FJ9:FJ13,"✗"))</f>
        <v/>
      </c>
      <c r="FK15" s="611">
        <f>IF(FK$4&lt;&gt;1,"",COUNTIF(FK9:FK13,"✗"))</f>
        <v/>
      </c>
      <c r="FL15" s="611">
        <f>IF(FL$4&lt;&gt;1,"",COUNTIF(FL9:FL13,"✗"))</f>
        <v/>
      </c>
      <c r="FM15" s="611">
        <f>IF(FM$4&lt;&gt;1,"",COUNTIF(FM9:FM13,"✗"))</f>
        <v/>
      </c>
      <c r="FN15" s="611">
        <f>IF(FN$4&lt;&gt;1,"",COUNTIF(FN9:FN13,"✗"))</f>
        <v/>
      </c>
      <c r="FO15" s="612" t="n"/>
      <c r="FP15" s="613" t="n"/>
      <c r="FQ15" s="614" t="n"/>
      <c r="FR15" s="610">
        <f>IF(FR$4&lt;&gt;1,"",COUNTIF(FR9:FR13,"✗"))</f>
        <v/>
      </c>
      <c r="FS15" s="611">
        <f>IF(FS$4&lt;&gt;1,"",COUNTIF(FS9:FS13,"✗"))</f>
        <v/>
      </c>
      <c r="FT15" s="611">
        <f>IF(FT$4&lt;&gt;1,"",COUNTIF(FT9:FT13,"✗"))</f>
        <v/>
      </c>
      <c r="FU15" s="611">
        <f>IF(FU$4&lt;&gt;1,"",COUNTIF(FU9:FU13,"✗"))</f>
        <v/>
      </c>
      <c r="FV15" s="611">
        <f>IF(FV$4&lt;&gt;1,"",COUNTIF(FV9:FV13,"✗"))</f>
        <v/>
      </c>
      <c r="FW15" s="611">
        <f>IF(FW$4&lt;&gt;1,"",COUNTIF(FW9:FW13,"✗"))</f>
        <v/>
      </c>
      <c r="FX15" s="611">
        <f>IF(FX$4&lt;&gt;1,"",COUNTIF(FX9:FX13,"✗"))</f>
        <v/>
      </c>
      <c r="FY15" s="611">
        <f>IF(FY$4&lt;&gt;1,"",COUNTIF(FY9:FY13,"✗"))</f>
        <v/>
      </c>
      <c r="FZ15" s="611">
        <f>IF(FZ$4&lt;&gt;1,"",COUNTIF(FZ9:FZ13,"✗"))</f>
        <v/>
      </c>
      <c r="GA15" s="611">
        <f>IF(GA$4&lt;&gt;1,"",COUNTIF(GA9:GA13,"✗"))</f>
        <v/>
      </c>
      <c r="GB15" s="611">
        <f>IF(GB$4&lt;&gt;1,"",COUNTIF(GB9:GB13,"✗"))</f>
        <v/>
      </c>
      <c r="GC15" s="611">
        <f>IF(GC$4&lt;&gt;1,"",COUNTIF(GC9:GC13,"✗"))</f>
        <v/>
      </c>
      <c r="GD15" s="611">
        <f>IF(GD$4&lt;&gt;1,"",COUNTIF(GD9:GD13,"✗"))</f>
        <v/>
      </c>
      <c r="GE15" s="611">
        <f>IF(GE$4&lt;&gt;1,"",COUNTIF(GE9:GE13,"✗"))</f>
        <v/>
      </c>
      <c r="GF15" s="611">
        <f>IF(GF$4&lt;&gt;1,"",COUNTIF(GF9:GF13,"✗"))</f>
        <v/>
      </c>
      <c r="GG15" s="611">
        <f>IF(GG$4&lt;&gt;1,"",COUNTIF(GG9:GG13,"✗"))</f>
        <v/>
      </c>
      <c r="GH15" s="611">
        <f>IF(GH$4&lt;&gt;1,"",COUNTIF(GH9:GH13,"✗"))</f>
        <v/>
      </c>
      <c r="GI15" s="611">
        <f>IF(GI$4&lt;&gt;1,"",COUNTIF(GI9:GI13,"✗"))</f>
        <v/>
      </c>
      <c r="GJ15" s="611">
        <f>IF(GJ$4&lt;&gt;1,"",COUNTIF(GJ9:GJ13,"✗"))</f>
        <v/>
      </c>
      <c r="GK15" s="611">
        <f>IF(GK$4&lt;&gt;1,"",COUNTIF(GK9:GK13,"✗"))</f>
        <v/>
      </c>
      <c r="GL15" s="611">
        <f>IF(GL$4&lt;&gt;1,"",COUNTIF(GL9:GL13,"✗"))</f>
        <v/>
      </c>
      <c r="GM15" s="611">
        <f>IF(GM$4&lt;&gt;1,"",COUNTIF(GM9:GM13,"✗"))</f>
        <v/>
      </c>
      <c r="GN15" s="611">
        <f>IF(GN$4&lt;&gt;1,"",COUNTIF(GN9:GN13,"✗"))</f>
        <v/>
      </c>
      <c r="GO15" s="611">
        <f>IF(GO$4&lt;&gt;1,"",COUNTIF(GO9:GO13,"✗"))</f>
        <v/>
      </c>
      <c r="GP15" s="611">
        <f>IF(GP$4&lt;&gt;1,"",COUNTIF(GP9:GP13,"✗"))</f>
        <v/>
      </c>
      <c r="GQ15" s="611">
        <f>IF(GQ$4&lt;&gt;1,"",COUNTIF(GQ9:GQ13,"✗"))</f>
        <v/>
      </c>
      <c r="GR15" s="611">
        <f>IF(GR$4&lt;&gt;1,"",COUNTIF(GR9:GR13,"✗"))</f>
        <v/>
      </c>
      <c r="GS15" s="611">
        <f>IF(GS$4&lt;&gt;1,"",COUNTIF(GS9:GS13,"✗"))</f>
        <v/>
      </c>
      <c r="GT15" s="611">
        <f>IF(GT$4&lt;&gt;1,"",COUNTIF(GT9:GT13,"✗"))</f>
        <v/>
      </c>
      <c r="GU15" s="611">
        <f>IF(GU$4&lt;&gt;1,"",COUNTIF(GU9:GU13,"✗"))</f>
        <v/>
      </c>
      <c r="GV15" s="611">
        <f>IF(GV$4&lt;&gt;1,"",COUNTIF(GV9:GV13,"✗"))</f>
        <v/>
      </c>
      <c r="GW15" s="612" t="n"/>
      <c r="GX15" s="613" t="n"/>
      <c r="GY15" s="614" t="n"/>
    </row>
    <row r="16">
      <c r="A16" s="609" t="inlineStr"/>
      <c r="B16" s="184" t="n"/>
      <c r="C16" s="184" t="n"/>
      <c r="D16" s="615" t="n"/>
      <c r="E16" s="616" t="n"/>
      <c r="F16" s="616" t="n"/>
      <c r="G16" s="616" t="n"/>
      <c r="H16" s="616" t="n"/>
      <c r="I16" s="616" t="n"/>
      <c r="J16" s="616" t="n"/>
      <c r="K16" s="616" t="n"/>
      <c r="L16" s="616" t="n"/>
      <c r="M16" s="616" t="n"/>
      <c r="N16" s="616" t="n"/>
      <c r="O16" s="616" t="n"/>
      <c r="P16" s="616" t="n"/>
      <c r="Q16" s="616" t="n"/>
      <c r="R16" s="616" t="n"/>
      <c r="S16" s="616" t="n"/>
      <c r="T16" s="616" t="n"/>
      <c r="U16" s="616" t="n"/>
      <c r="V16" s="616" t="n"/>
      <c r="W16" s="616" t="n"/>
      <c r="X16" s="616" t="n"/>
      <c r="Y16" s="616" t="n"/>
      <c r="Z16" s="616" t="n"/>
      <c r="AA16" s="616" t="n"/>
      <c r="AB16" s="616" t="n"/>
      <c r="AC16" s="616" t="n"/>
      <c r="AD16" s="616" t="n"/>
      <c r="AE16" s="616" t="n"/>
      <c r="AF16" s="616" t="n"/>
      <c r="AG16" s="616" t="n"/>
      <c r="AH16" s="616" t="n"/>
      <c r="AI16" s="612" t="n"/>
      <c r="AJ16" s="613" t="n"/>
      <c r="AK16" s="614" t="n"/>
      <c r="AL16" s="615" t="n"/>
      <c r="AM16" s="616" t="n"/>
      <c r="AN16" s="616" t="n"/>
      <c r="AO16" s="616" t="n"/>
      <c r="AP16" s="616" t="n"/>
      <c r="AQ16" s="616" t="n"/>
      <c r="AR16" s="616" t="n"/>
      <c r="AS16" s="616" t="n"/>
      <c r="AT16" s="616" t="n"/>
      <c r="AU16" s="616" t="n"/>
      <c r="AV16" s="616" t="n"/>
      <c r="AW16" s="616" t="n"/>
      <c r="AX16" s="616" t="n"/>
      <c r="AY16" s="616" t="n"/>
      <c r="AZ16" s="616" t="n"/>
      <c r="BA16" s="616" t="n"/>
      <c r="BB16" s="616" t="n"/>
      <c r="BC16" s="616" t="n"/>
      <c r="BD16" s="616" t="n"/>
      <c r="BE16" s="616" t="n"/>
      <c r="BF16" s="616" t="n"/>
      <c r="BG16" s="616" t="n"/>
      <c r="BH16" s="616" t="n"/>
      <c r="BI16" s="616" t="n"/>
      <c r="BJ16" s="616" t="n"/>
      <c r="BK16" s="616" t="n"/>
      <c r="BL16" s="616" t="n"/>
      <c r="BM16" s="616" t="n"/>
      <c r="BN16" s="616" t="n"/>
      <c r="BO16" s="616" t="n"/>
      <c r="BP16" s="616" t="n"/>
      <c r="BQ16" s="612" t="n"/>
      <c r="BR16" s="613" t="n"/>
      <c r="BS16" s="614" t="n"/>
      <c r="BT16" s="615" t="n"/>
      <c r="BU16" s="616" t="n"/>
      <c r="BV16" s="616" t="n"/>
      <c r="BW16" s="616" t="n"/>
      <c r="BX16" s="616" t="n"/>
      <c r="BY16" s="616" t="n"/>
      <c r="BZ16" s="616" t="n"/>
      <c r="CA16" s="616" t="n"/>
      <c r="CB16" s="616" t="n"/>
      <c r="CC16" s="616" t="n"/>
      <c r="CD16" s="616" t="n"/>
      <c r="CE16" s="616" t="n"/>
      <c r="CF16" s="616" t="n"/>
      <c r="CG16" s="616" t="n"/>
      <c r="CH16" s="616" t="n"/>
      <c r="CI16" s="616" t="n"/>
      <c r="CJ16" s="616" t="n"/>
      <c r="CK16" s="616" t="n"/>
      <c r="CL16" s="616" t="n"/>
      <c r="CM16" s="616" t="n"/>
      <c r="CN16" s="616" t="n"/>
      <c r="CO16" s="616" t="n"/>
      <c r="CP16" s="616" t="n"/>
      <c r="CQ16" s="616" t="n"/>
      <c r="CR16" s="616" t="n"/>
      <c r="CS16" s="616" t="n"/>
      <c r="CT16" s="616" t="n"/>
      <c r="CU16" s="616" t="n"/>
      <c r="CV16" s="616" t="n"/>
      <c r="CW16" s="616" t="n"/>
      <c r="CX16" s="616" t="n"/>
      <c r="CY16" s="612" t="n"/>
      <c r="CZ16" s="613" t="n"/>
      <c r="DA16" s="614" t="n"/>
      <c r="DB16" s="615" t="n"/>
      <c r="DC16" s="616" t="n"/>
      <c r="DD16" s="616" t="n"/>
      <c r="DE16" s="616" t="n"/>
      <c r="DF16" s="616" t="n"/>
      <c r="DG16" s="616" t="n"/>
      <c r="DH16" s="616" t="n"/>
      <c r="DI16" s="616" t="n"/>
      <c r="DJ16" s="616" t="n"/>
      <c r="DK16" s="616" t="n"/>
      <c r="DL16" s="616" t="n"/>
      <c r="DM16" s="616" t="n"/>
      <c r="DN16" s="616" t="n"/>
      <c r="DO16" s="616" t="n"/>
      <c r="DP16" s="616" t="n"/>
      <c r="DQ16" s="616" t="n"/>
      <c r="DR16" s="616" t="n"/>
      <c r="DS16" s="616" t="n"/>
      <c r="DT16" s="616" t="n"/>
      <c r="DU16" s="616" t="n"/>
      <c r="DV16" s="616" t="n"/>
      <c r="DW16" s="616" t="n"/>
      <c r="DX16" s="616" t="n"/>
      <c r="DY16" s="616" t="n"/>
      <c r="DZ16" s="616" t="n"/>
      <c r="EA16" s="616" t="n"/>
      <c r="EB16" s="616" t="n"/>
      <c r="EC16" s="616" t="n"/>
      <c r="ED16" s="616" t="n"/>
      <c r="EE16" s="616" t="n"/>
      <c r="EF16" s="616" t="n"/>
      <c r="EG16" s="612" t="n"/>
      <c r="EH16" s="613" t="n"/>
      <c r="EI16" s="614" t="n"/>
      <c r="EJ16" s="615" t="n"/>
      <c r="EK16" s="616" t="n"/>
      <c r="EL16" s="616" t="n"/>
      <c r="EM16" s="616" t="n"/>
      <c r="EN16" s="616" t="n"/>
      <c r="EO16" s="616" t="n"/>
      <c r="EP16" s="616" t="n"/>
      <c r="EQ16" s="616" t="n"/>
      <c r="ER16" s="616" t="n"/>
      <c r="ES16" s="616" t="n"/>
      <c r="ET16" s="616" t="n"/>
      <c r="EU16" s="616" t="n"/>
      <c r="EV16" s="616" t="n"/>
      <c r="EW16" s="616" t="n"/>
      <c r="EX16" s="616" t="n"/>
      <c r="EY16" s="616" t="n"/>
      <c r="EZ16" s="616" t="n"/>
      <c r="FA16" s="616" t="n"/>
      <c r="FB16" s="616" t="n"/>
      <c r="FC16" s="616" t="n"/>
      <c r="FD16" s="616" t="n"/>
      <c r="FE16" s="616" t="n"/>
      <c r="FF16" s="616" t="n"/>
      <c r="FG16" s="616" t="n"/>
      <c r="FH16" s="616" t="n"/>
      <c r="FI16" s="616" t="n"/>
      <c r="FJ16" s="616" t="n"/>
      <c r="FK16" s="616" t="n"/>
      <c r="FL16" s="616" t="n"/>
      <c r="FM16" s="616" t="n"/>
      <c r="FN16" s="616" t="n"/>
      <c r="FO16" s="612" t="n"/>
      <c r="FP16" s="613" t="n"/>
      <c r="FQ16" s="614" t="n"/>
      <c r="FR16" s="615" t="n"/>
      <c r="FS16" s="616" t="n"/>
      <c r="FT16" s="616" t="n"/>
      <c r="FU16" s="616" t="n"/>
      <c r="FV16" s="616" t="n"/>
      <c r="FW16" s="616" t="n"/>
      <c r="FX16" s="616" t="n"/>
      <c r="FY16" s="616" t="n"/>
      <c r="FZ16" s="616" t="n"/>
      <c r="GA16" s="616" t="n"/>
      <c r="GB16" s="616" t="n"/>
      <c r="GC16" s="616" t="n"/>
      <c r="GD16" s="616" t="n"/>
      <c r="GE16" s="616" t="n"/>
      <c r="GF16" s="616" t="n"/>
      <c r="GG16" s="616" t="n"/>
      <c r="GH16" s="616" t="n"/>
      <c r="GI16" s="616" t="n"/>
      <c r="GJ16" s="616" t="n"/>
      <c r="GK16" s="616" t="n"/>
      <c r="GL16" s="616" t="n"/>
      <c r="GM16" s="616" t="n"/>
      <c r="GN16" s="616" t="n"/>
      <c r="GO16" s="616" t="n"/>
      <c r="GP16" s="616" t="n"/>
      <c r="GQ16" s="616" t="n"/>
      <c r="GR16" s="616" t="n"/>
      <c r="GS16" s="616" t="n"/>
      <c r="GT16" s="616" t="n"/>
      <c r="GU16" s="616" t="n"/>
      <c r="GV16" s="616" t="n"/>
      <c r="GW16" s="612" t="n"/>
      <c r="GX16" s="613" t="n"/>
      <c r="GY16" s="614" t="n"/>
    </row>
    <row r="17" ht="92" customHeight="1">
      <c r="A17" s="609" t="inlineStr">
        <is>
          <t>กิจกรรมที่ทำ</t>
        </is>
      </c>
      <c r="B17" s="184" t="n"/>
      <c r="C17" s="184" t="n"/>
      <c r="D17" s="617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612" t="n"/>
      <c r="AJ17" s="613" t="n"/>
      <c r="AK17" s="614" t="n"/>
      <c r="AL17" s="617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612" t="n"/>
      <c r="BR17" s="613" t="n"/>
      <c r="BS17" s="614" t="n"/>
      <c r="BT17" s="617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612" t="n"/>
      <c r="CZ17" s="613" t="n"/>
      <c r="DA17" s="614" t="n"/>
      <c r="DB17" s="617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612" t="n"/>
      <c r="EH17" s="613" t="n"/>
      <c r="EI17" s="614" t="n"/>
      <c r="EJ17" s="617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612" t="n"/>
      <c r="FP17" s="613" t="n"/>
      <c r="FQ17" s="614" t="n"/>
      <c r="FR17" s="617" t="n"/>
      <c r="FS17" s="527" t="n"/>
      <c r="FT17" s="527" t="n"/>
      <c r="FU17" s="527" t="n"/>
      <c r="FV17" s="527" t="n"/>
      <c r="FW17" s="527" t="n"/>
      <c r="FX17" s="527" t="n"/>
      <c r="FY17" s="527" t="n"/>
      <c r="FZ17" s="527" t="n"/>
      <c r="GA17" s="527" t="n"/>
      <c r="GB17" s="527" t="n"/>
      <c r="GC17" s="527" t="n"/>
      <c r="GD17" s="527" t="n"/>
      <c r="GE17" s="527" t="n"/>
      <c r="GF17" s="527" t="n"/>
      <c r="GG17" s="527" t="n"/>
      <c r="GH17" s="527" t="n"/>
      <c r="GI17" s="527" t="n"/>
      <c r="GJ17" s="527" t="n"/>
      <c r="GK17" s="527" t="n"/>
      <c r="GL17" s="527" t="n"/>
      <c r="GM17" s="527" t="n"/>
      <c r="GN17" s="527" t="n"/>
      <c r="GO17" s="527" t="n"/>
      <c r="GP17" s="527" t="n"/>
      <c r="GQ17" s="527" t="n"/>
      <c r="GR17" s="527" t="n"/>
      <c r="GS17" s="527" t="n"/>
      <c r="GT17" s="527" t="n"/>
      <c r="GU17" s="527" t="n"/>
      <c r="GV17" s="527" t="n"/>
      <c r="GW17" s="612" t="n"/>
      <c r="GX17" s="613" t="n"/>
      <c r="GY17" s="61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FR9:GV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tabColor rgb="0079D389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586" t="inlineStr">
        <is>
          <t>🏠</t>
        </is>
      </c>
      <c r="B1" s="587" t="n"/>
      <c r="C1" s="587" t="n"/>
      <c r="D1" s="587" t="n"/>
      <c r="E1" s="587" t="n"/>
      <c r="F1" s="587" t="n"/>
      <c r="G1" s="587" t="n"/>
      <c r="H1" s="587" t="n"/>
      <c r="I1" s="587" t="n"/>
      <c r="J1" s="587" t="n"/>
      <c r="K1" s="587" t="n"/>
      <c r="L1" s="587" t="n"/>
      <c r="M1" s="587" t="n"/>
      <c r="N1" s="587" t="n"/>
      <c r="O1" s="587" t="n"/>
      <c r="P1" s="587" t="n"/>
      <c r="Q1" s="587" t="n"/>
      <c r="R1" s="587" t="n"/>
      <c r="S1" s="587" t="n"/>
      <c r="T1" s="587" t="n"/>
      <c r="U1" s="587" t="n"/>
      <c r="V1" s="587" t="n"/>
      <c r="W1" s="587" t="n"/>
      <c r="X1" s="587" t="n"/>
      <c r="Y1" s="587" t="n"/>
      <c r="Z1" s="587" t="n"/>
      <c r="AA1" s="587" t="n"/>
      <c r="AB1" s="587" t="n"/>
      <c r="AC1" s="587" t="n"/>
      <c r="AD1" s="587" t="n"/>
      <c r="AE1" s="587" t="n"/>
      <c r="AF1" s="587" t="n"/>
      <c r="AG1" s="587" t="n"/>
      <c r="AH1" s="587" t="n"/>
      <c r="AI1" s="587" t="n"/>
      <c r="AJ1" s="587" t="n"/>
      <c r="AK1" s="587" t="n"/>
      <c r="AL1" s="587" t="n"/>
      <c r="AM1" s="587" t="n"/>
      <c r="AN1" s="587" t="n"/>
      <c r="AO1" s="587" t="n"/>
      <c r="AP1" s="587" t="n"/>
      <c r="AQ1" s="587" t="n"/>
      <c r="AR1" s="587" t="n"/>
      <c r="AS1" s="587" t="n"/>
      <c r="AT1" s="587" t="n"/>
      <c r="AU1" s="587" t="n"/>
      <c r="AV1" s="587" t="n"/>
      <c r="AW1" s="587" t="n"/>
      <c r="AX1" s="587" t="n"/>
      <c r="AY1" s="587" t="n"/>
      <c r="AZ1" s="587" t="n"/>
      <c r="BA1" s="587" t="n"/>
      <c r="BB1" s="587" t="n"/>
      <c r="BC1" s="587" t="n"/>
      <c r="BD1" s="587" t="n"/>
      <c r="BE1" s="587" t="n"/>
      <c r="BF1" s="587" t="n"/>
      <c r="BG1" s="587" t="n"/>
      <c r="BH1" s="587" t="n"/>
      <c r="BI1" s="587" t="n"/>
      <c r="BJ1" s="587" t="n"/>
      <c r="BK1" s="587" t="n"/>
      <c r="BL1" s="587" t="n"/>
      <c r="BM1" s="587" t="n"/>
      <c r="BN1" s="587" t="n"/>
      <c r="BO1" s="587" t="n"/>
      <c r="BP1" s="587" t="n"/>
      <c r="BQ1" s="587" t="n"/>
      <c r="BR1" s="587" t="n"/>
      <c r="BS1" s="587" t="n"/>
      <c r="BT1" s="587" t="n"/>
      <c r="BU1" s="587" t="n"/>
      <c r="BV1" s="587" t="n"/>
      <c r="BW1" s="587" t="n"/>
      <c r="BX1" s="587" t="n"/>
      <c r="BY1" s="587" t="n"/>
      <c r="BZ1" s="587" t="n"/>
      <c r="CA1" s="587" t="n"/>
      <c r="CB1" s="587" t="n"/>
      <c r="CC1" s="587" t="n"/>
      <c r="CD1" s="587" t="n"/>
      <c r="CE1" s="587" t="n"/>
      <c r="CF1" s="587" t="n"/>
      <c r="CG1" s="587" t="n"/>
      <c r="CH1" s="587" t="n"/>
      <c r="CI1" s="587" t="n"/>
      <c r="CJ1" s="587" t="n"/>
      <c r="CK1" s="587" t="n"/>
      <c r="CL1" s="587" t="n"/>
      <c r="CM1" s="587" t="n"/>
      <c r="CN1" s="587" t="n"/>
      <c r="CO1" s="587" t="n"/>
      <c r="CP1" s="587" t="n"/>
      <c r="CQ1" s="587" t="n"/>
      <c r="CR1" s="587" t="n"/>
      <c r="CS1" s="587" t="n"/>
      <c r="CT1" s="587" t="n"/>
      <c r="CU1" s="587" t="n"/>
      <c r="CV1" s="587" t="n"/>
      <c r="CW1" s="587" t="n"/>
      <c r="CX1" s="587" t="n"/>
      <c r="CY1" s="587" t="n"/>
      <c r="CZ1" s="587" t="n"/>
      <c r="DA1" s="587" t="n"/>
      <c r="DB1" s="587" t="n"/>
      <c r="DC1" s="587" t="n"/>
      <c r="DD1" s="587" t="n"/>
      <c r="DE1" s="587" t="n"/>
      <c r="DF1" s="587" t="n"/>
      <c r="DG1" s="587" t="n"/>
      <c r="DH1" s="587" t="n"/>
      <c r="DI1" s="587" t="n"/>
      <c r="DJ1" s="587" t="n"/>
      <c r="DK1" s="587" t="n"/>
      <c r="DL1" s="587" t="n"/>
      <c r="DM1" s="587" t="n"/>
      <c r="DN1" s="587" t="n"/>
      <c r="DO1" s="587" t="n"/>
      <c r="DP1" s="587" t="n"/>
      <c r="DQ1" s="587" t="n"/>
      <c r="DR1" s="587" t="n"/>
      <c r="DS1" s="587" t="n"/>
      <c r="DT1" s="587" t="n"/>
      <c r="DU1" s="587" t="n"/>
      <c r="DV1" s="587" t="n"/>
      <c r="DW1" s="587" t="n"/>
      <c r="DX1" s="587" t="n"/>
      <c r="DY1" s="587" t="n"/>
      <c r="DZ1" s="587" t="n"/>
      <c r="EA1" s="587" t="n"/>
      <c r="EB1" s="587" t="n"/>
      <c r="EC1" s="587" t="n"/>
      <c r="ED1" s="587" t="n"/>
      <c r="EE1" s="587" t="n"/>
      <c r="EF1" s="587" t="n"/>
      <c r="EG1" s="587" t="n"/>
      <c r="EH1" s="587" t="n"/>
      <c r="EI1" s="587" t="n"/>
      <c r="EJ1" s="587" t="n"/>
      <c r="EK1" s="587" t="n"/>
      <c r="EL1" s="587" t="n"/>
      <c r="EM1" s="587" t="n"/>
      <c r="EN1" s="587" t="n"/>
      <c r="EO1" s="587" t="n"/>
      <c r="EP1" s="587" t="n"/>
      <c r="EQ1" s="587" t="n"/>
      <c r="ER1" s="587" t="n"/>
      <c r="ES1" s="587" t="n"/>
      <c r="ET1" s="587" t="n"/>
      <c r="EU1" s="587" t="n"/>
      <c r="EV1" s="587" t="n"/>
      <c r="EW1" s="587" t="n"/>
      <c r="EX1" s="587" t="n"/>
      <c r="EY1" s="587" t="n"/>
      <c r="EZ1" s="587" t="n"/>
      <c r="FA1" s="587" t="n"/>
      <c r="FB1" s="587" t="n"/>
      <c r="FC1" s="587" t="n"/>
      <c r="FD1" s="587" t="n"/>
      <c r="FE1" s="587" t="n"/>
      <c r="FF1" s="587" t="n"/>
      <c r="FG1" s="587" t="n"/>
      <c r="FH1" s="587" t="n"/>
      <c r="FI1" s="587" t="n"/>
      <c r="FJ1" s="587" t="n"/>
      <c r="FK1" s="587" t="n"/>
      <c r="FL1" s="587" t="n"/>
      <c r="FM1" s="587" t="n"/>
      <c r="FN1" s="587" t="n"/>
      <c r="FO1" s="587" t="n"/>
      <c r="FP1" s="587" t="n"/>
      <c r="FQ1" s="587" t="n"/>
    </row>
    <row r="2" ht="20" customHeight="1">
      <c r="A2" s="588" t="inlineStr">
        <is>
          <t>หน้าหลัก</t>
        </is>
      </c>
      <c r="B2" s="58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590" t="n"/>
      <c r="D2" s="590" t="n"/>
      <c r="E2" s="590" t="n"/>
      <c r="F2" s="590" t="n"/>
      <c r="G2" s="590" t="n"/>
      <c r="H2" s="590" t="n"/>
      <c r="I2" s="590" t="n"/>
      <c r="J2" s="590" t="n"/>
      <c r="K2" s="590" t="n"/>
      <c r="L2" s="590" t="n"/>
      <c r="M2" s="590" t="n"/>
      <c r="N2" s="590" t="n"/>
      <c r="O2" s="590" t="n"/>
      <c r="P2" s="590" t="n"/>
      <c r="Q2" s="590" t="n"/>
      <c r="R2" s="590" t="n"/>
      <c r="S2" s="590" t="n"/>
      <c r="T2" s="590" t="n"/>
      <c r="U2" s="590" t="n"/>
      <c r="V2" s="590" t="n"/>
      <c r="W2" s="590" t="n"/>
      <c r="X2" s="590" t="n"/>
      <c r="Y2" s="590" t="n"/>
      <c r="Z2" s="590" t="n"/>
      <c r="AA2" s="590" t="n"/>
      <c r="AB2" s="590" t="n"/>
      <c r="AC2" s="590" t="n"/>
      <c r="AD2" s="590" t="n"/>
      <c r="AE2" s="590" t="n"/>
      <c r="AF2" s="590" t="n"/>
      <c r="AG2" s="590" t="n"/>
      <c r="AH2" s="590" t="n"/>
      <c r="AI2" s="590" t="n"/>
      <c r="AJ2" s="590" t="n"/>
      <c r="AK2" s="590" t="n"/>
      <c r="AL2" s="590" t="n"/>
      <c r="AM2" s="590" t="n"/>
      <c r="AN2" s="590" t="n"/>
      <c r="AO2" s="590" t="n"/>
      <c r="AP2" s="590" t="n"/>
      <c r="AQ2" s="590" t="n"/>
      <c r="AR2" s="590" t="n"/>
      <c r="AS2" s="590" t="n"/>
      <c r="AT2" s="590" t="n"/>
      <c r="AU2" s="590" t="n"/>
      <c r="AV2" s="590" t="n"/>
      <c r="AW2" s="590" t="n"/>
      <c r="AX2" s="590" t="n"/>
      <c r="AY2" s="590" t="n"/>
      <c r="AZ2" s="590" t="n"/>
      <c r="BA2" s="590" t="n"/>
      <c r="BB2" s="590" t="n"/>
      <c r="BC2" s="590" t="n"/>
      <c r="BD2" s="590" t="n"/>
      <c r="BE2" s="590" t="n"/>
      <c r="BF2" s="590" t="n"/>
      <c r="BG2" s="590" t="n"/>
      <c r="BH2" s="590" t="n"/>
      <c r="BI2" s="590" t="n"/>
      <c r="BJ2" s="590" t="n"/>
      <c r="BK2" s="590" t="n"/>
      <c r="BL2" s="590" t="n"/>
      <c r="BM2" s="590" t="n"/>
      <c r="BN2" s="590" t="n"/>
      <c r="BO2" s="590" t="n"/>
      <c r="BP2" s="590" t="n"/>
      <c r="BQ2" s="590" t="n"/>
      <c r="BR2" s="590" t="n"/>
      <c r="BS2" s="590" t="n"/>
      <c r="BT2" s="590" t="n"/>
      <c r="BU2" s="590" t="n"/>
      <c r="BV2" s="590" t="n"/>
      <c r="BW2" s="590" t="n"/>
      <c r="BX2" s="590" t="n"/>
      <c r="BY2" s="590" t="n"/>
      <c r="BZ2" s="590" t="n"/>
      <c r="CA2" s="590" t="n"/>
      <c r="CB2" s="590" t="n"/>
      <c r="CC2" s="590" t="n"/>
      <c r="CD2" s="590" t="n"/>
      <c r="CE2" s="590" t="n"/>
      <c r="CF2" s="590" t="n"/>
      <c r="CG2" s="590" t="n"/>
      <c r="CH2" s="590" t="n"/>
      <c r="CI2" s="590" t="n"/>
      <c r="CJ2" s="590" t="n"/>
      <c r="CK2" s="590" t="n"/>
      <c r="CL2" s="590" t="n"/>
      <c r="CM2" s="590" t="n"/>
      <c r="CN2" s="590" t="n"/>
      <c r="CO2" s="590" t="n"/>
      <c r="CP2" s="590" t="n"/>
      <c r="CQ2" s="590" t="n"/>
      <c r="CR2" s="590" t="n"/>
      <c r="CS2" s="590" t="n"/>
      <c r="CT2" s="590" t="n"/>
      <c r="CU2" s="590" t="n"/>
      <c r="CV2" s="590" t="n"/>
      <c r="CW2" s="590" t="n"/>
      <c r="CX2" s="590" t="n"/>
      <c r="CY2" s="590" t="n"/>
      <c r="CZ2" s="590" t="n"/>
      <c r="DA2" s="590" t="n"/>
      <c r="DB2" s="590" t="n"/>
      <c r="DC2" s="590" t="n"/>
      <c r="DD2" s="590" t="n"/>
      <c r="DE2" s="590" t="n"/>
      <c r="DF2" s="590" t="n"/>
      <c r="DG2" s="590" t="n"/>
      <c r="DH2" s="590" t="n"/>
      <c r="DI2" s="590" t="n"/>
      <c r="DJ2" s="590" t="n"/>
      <c r="DK2" s="590" t="n"/>
      <c r="DL2" s="590" t="n"/>
      <c r="DM2" s="590" t="n"/>
      <c r="DN2" s="590" t="n"/>
      <c r="DO2" s="590" t="n"/>
      <c r="DP2" s="590" t="n"/>
      <c r="DQ2" s="590" t="n"/>
      <c r="DR2" s="590" t="n"/>
      <c r="DS2" s="590" t="n"/>
      <c r="DT2" s="590" t="n"/>
      <c r="DU2" s="590" t="n"/>
      <c r="DV2" s="590" t="n"/>
      <c r="DW2" s="590" t="n"/>
      <c r="DX2" s="590" t="n"/>
      <c r="DY2" s="590" t="n"/>
      <c r="DZ2" s="590" t="n"/>
      <c r="EA2" s="590" t="n"/>
      <c r="EB2" s="590" t="n"/>
      <c r="EC2" s="590" t="n"/>
      <c r="ED2" s="590" t="n"/>
      <c r="EE2" s="590" t="n"/>
      <c r="EF2" s="590" t="n"/>
      <c r="EG2" s="590" t="n"/>
      <c r="EH2" s="590" t="n"/>
      <c r="EI2" s="590" t="n"/>
      <c r="EJ2" s="590" t="n"/>
      <c r="EK2" s="590" t="n"/>
      <c r="EL2" s="590" t="n"/>
      <c r="EM2" s="590" t="n"/>
      <c r="EN2" s="590" t="n"/>
      <c r="EO2" s="590" t="n"/>
      <c r="EP2" s="590" t="n"/>
      <c r="EQ2" s="590" t="n"/>
      <c r="ER2" s="590" t="n"/>
      <c r="ES2" s="590" t="n"/>
      <c r="ET2" s="590" t="n"/>
      <c r="EU2" s="590" t="n"/>
      <c r="EV2" s="590" t="n"/>
      <c r="EW2" s="590" t="n"/>
      <c r="EX2" s="590" t="n"/>
      <c r="EY2" s="590" t="n"/>
      <c r="EZ2" s="590" t="n"/>
      <c r="FA2" s="590" t="n"/>
      <c r="FB2" s="590" t="n"/>
      <c r="FC2" s="590" t="n"/>
      <c r="FD2" s="590" t="n"/>
      <c r="FE2" s="590" t="n"/>
      <c r="FF2" s="590" t="n"/>
      <c r="FG2" s="590" t="n"/>
      <c r="FH2" s="590" t="n"/>
      <c r="FI2" s="590" t="n"/>
      <c r="FJ2" s="590" t="n"/>
      <c r="FK2" s="590" t="n"/>
      <c r="FL2" s="590" t="n"/>
      <c r="FM2" s="590" t="n"/>
      <c r="FN2" s="590" t="n"/>
      <c r="FO2" s="590" t="n"/>
      <c r="FP2" s="590" t="n"/>
      <c r="FQ2" s="590" t="n"/>
    </row>
    <row r="3" ht="18" customHeight="1">
      <c r="B3" s="591" t="inlineStr">
        <is>
          <t>✓ = ออกกำลังกาย     ✗ = ไม่ได้ทำ      •   แถวล่างสุดบันทึกชื่อกิจกรรม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592" t="inlineStr">
        <is>
          <t>เลขที่</t>
        </is>
      </c>
      <c r="B5" s="592" t="inlineStr">
        <is>
          <t>ชื่อ - สกุล</t>
        </is>
      </c>
      <c r="C5" s="593" t="inlineStr">
        <is>
          <t>ร้อยละ
ทั้งภาค</t>
        </is>
      </c>
      <c r="D5" s="594">
        <f>"เดือนพฤศจิกายน  พ.ศ. "&amp;('ข้อมูลโรงเรียน'!$C$12-543+543)</f>
        <v/>
      </c>
      <c r="AI5" s="595" t="inlineStr">
        <is>
          <t>สรุป พ.ย.</t>
        </is>
      </c>
      <c r="AL5" s="594">
        <f>"เดือนธันวาคม  พ.ศ. "&amp;('ข้อมูลโรงเรียน'!$C$12-543+543)</f>
        <v/>
      </c>
      <c r="BQ5" s="595" t="inlineStr">
        <is>
          <t>สรุป ธ.ค.</t>
        </is>
      </c>
      <c r="BT5" s="594">
        <f>"เดือนมกราคม  พ.ศ. "&amp;('ข้อมูลโรงเรียน'!$C$12-542+543)</f>
        <v/>
      </c>
      <c r="CY5" s="595" t="inlineStr">
        <is>
          <t>สรุป ม.ค.</t>
        </is>
      </c>
      <c r="DB5" s="594">
        <f>"เดือนกุมภาพันธ์  พ.ศ. "&amp;('ข้อมูลโรงเรียน'!$C$12-542+543)</f>
        <v/>
      </c>
      <c r="EG5" s="595" t="inlineStr">
        <is>
          <t>สรุป ก.พ.</t>
        </is>
      </c>
      <c r="EJ5" s="594">
        <f>"เดือนมีนาคม  พ.ศ. "&amp;('ข้อมูลโรงเรียน'!$C$12-542+543)</f>
        <v/>
      </c>
      <c r="FO5" s="595" t="inlineStr">
        <is>
          <t>สรุป มี.ค.</t>
        </is>
      </c>
    </row>
    <row r="6">
      <c r="D6" s="596">
        <f>IF('ปฏิทิน'!D5="","",DAY('ปฏิทิน'!D5))</f>
        <v/>
      </c>
      <c r="E6" s="593">
        <f>IF('ปฏิทิน'!E5="","",DAY('ปฏิทิน'!E5))</f>
        <v/>
      </c>
      <c r="F6" s="593">
        <f>IF('ปฏิทิน'!F5="","",DAY('ปฏิทิน'!F5))</f>
        <v/>
      </c>
      <c r="G6" s="593">
        <f>IF('ปฏิทิน'!G5="","",DAY('ปฏิทิน'!G5))</f>
        <v/>
      </c>
      <c r="H6" s="593">
        <f>IF('ปฏิทิน'!H5="","",DAY('ปฏิทิน'!H5))</f>
        <v/>
      </c>
      <c r="I6" s="593">
        <f>IF('ปฏิทิน'!I5="","",DAY('ปฏิทิน'!I5))</f>
        <v/>
      </c>
      <c r="J6" s="593">
        <f>IF('ปฏิทิน'!J5="","",DAY('ปฏิทิน'!J5))</f>
        <v/>
      </c>
      <c r="K6" s="593">
        <f>IF('ปฏิทิน'!K5="","",DAY('ปฏิทิน'!K5))</f>
        <v/>
      </c>
      <c r="L6" s="593">
        <f>IF('ปฏิทิน'!L5="","",DAY('ปฏิทิน'!L5))</f>
        <v/>
      </c>
      <c r="M6" s="593">
        <f>IF('ปฏิทิน'!M5="","",DAY('ปฏิทิน'!M5))</f>
        <v/>
      </c>
      <c r="N6" s="593">
        <f>IF('ปฏิทิน'!N5="","",DAY('ปฏิทิน'!N5))</f>
        <v/>
      </c>
      <c r="O6" s="593">
        <f>IF('ปฏิทิน'!O5="","",DAY('ปฏิทิน'!O5))</f>
        <v/>
      </c>
      <c r="P6" s="593">
        <f>IF('ปฏิทิน'!P5="","",DAY('ปฏิทิน'!P5))</f>
        <v/>
      </c>
      <c r="Q6" s="593">
        <f>IF('ปฏิทิน'!Q5="","",DAY('ปฏิทิน'!Q5))</f>
        <v/>
      </c>
      <c r="R6" s="593">
        <f>IF('ปฏิทิน'!R5="","",DAY('ปฏิทิน'!R5))</f>
        <v/>
      </c>
      <c r="S6" s="593">
        <f>IF('ปฏิทิน'!S5="","",DAY('ปฏิทิน'!S5))</f>
        <v/>
      </c>
      <c r="T6" s="593">
        <f>IF('ปฏิทิน'!T5="","",DAY('ปฏิทิน'!T5))</f>
        <v/>
      </c>
      <c r="U6" s="593">
        <f>IF('ปฏิทิน'!U5="","",DAY('ปฏิทิน'!U5))</f>
        <v/>
      </c>
      <c r="V6" s="593">
        <f>IF('ปฏิทิน'!V5="","",DAY('ปฏิทิน'!V5))</f>
        <v/>
      </c>
      <c r="W6" s="593">
        <f>IF('ปฏิทิน'!W5="","",DAY('ปฏิทิน'!W5))</f>
        <v/>
      </c>
      <c r="X6" s="593">
        <f>IF('ปฏิทิน'!X5="","",DAY('ปฏิทิน'!X5))</f>
        <v/>
      </c>
      <c r="Y6" s="593">
        <f>IF('ปฏิทิน'!Y5="","",DAY('ปฏิทิน'!Y5))</f>
        <v/>
      </c>
      <c r="Z6" s="593">
        <f>IF('ปฏิทิน'!Z5="","",DAY('ปฏิทิน'!Z5))</f>
        <v/>
      </c>
      <c r="AA6" s="593">
        <f>IF('ปฏิทิน'!AA5="","",DAY('ปฏิทิน'!AA5))</f>
        <v/>
      </c>
      <c r="AB6" s="593">
        <f>IF('ปฏิทิน'!AB5="","",DAY('ปฏิทิน'!AB5))</f>
        <v/>
      </c>
      <c r="AC6" s="593">
        <f>IF('ปฏิทิน'!AC5="","",DAY('ปฏิทิน'!AC5))</f>
        <v/>
      </c>
      <c r="AD6" s="593">
        <f>IF('ปฏิทิน'!AD5="","",DAY('ปฏิทิน'!AD5))</f>
        <v/>
      </c>
      <c r="AE6" s="593">
        <f>IF('ปฏิทิน'!AE5="","",DAY('ปฏิทิน'!AE5))</f>
        <v/>
      </c>
      <c r="AF6" s="593">
        <f>IF('ปฏิทิน'!AF5="","",DAY('ปฏิทิน'!AF5))</f>
        <v/>
      </c>
      <c r="AG6" s="593">
        <f>IF('ปฏิทิน'!AG5="","",DAY('ปฏิทิน'!AG5))</f>
        <v/>
      </c>
      <c r="AH6" s="593">
        <f>IF('ปฏิทิน'!AH5="","",DAY('ปฏิทิน'!AH5))</f>
        <v/>
      </c>
      <c r="AI6" s="597" t="inlineStr">
        <is>
          <t>ทำ</t>
        </is>
      </c>
      <c r="AJ6" s="598" t="inlineStr">
        <is>
          <t>ไม่
ทำ</t>
        </is>
      </c>
      <c r="AK6" s="599" t="inlineStr">
        <is>
          <t>ร้อยละ</t>
        </is>
      </c>
      <c r="AL6" s="596">
        <f>IF('ปฏิทิน'!AL5="","",DAY('ปฏิทิน'!AL5))</f>
        <v/>
      </c>
      <c r="AM6" s="593">
        <f>IF('ปฏิทิน'!AM5="","",DAY('ปฏิทิน'!AM5))</f>
        <v/>
      </c>
      <c r="AN6" s="593">
        <f>IF('ปฏิทิน'!AN5="","",DAY('ปฏิทิน'!AN5))</f>
        <v/>
      </c>
      <c r="AO6" s="593">
        <f>IF('ปฏิทิน'!AO5="","",DAY('ปฏิทิน'!AO5))</f>
        <v/>
      </c>
      <c r="AP6" s="593">
        <f>IF('ปฏิทิน'!AP5="","",DAY('ปฏิทิน'!AP5))</f>
        <v/>
      </c>
      <c r="AQ6" s="593">
        <f>IF('ปฏิทิน'!AQ5="","",DAY('ปฏิทิน'!AQ5))</f>
        <v/>
      </c>
      <c r="AR6" s="593">
        <f>IF('ปฏิทิน'!AR5="","",DAY('ปฏิทิน'!AR5))</f>
        <v/>
      </c>
      <c r="AS6" s="593">
        <f>IF('ปฏิทิน'!AS5="","",DAY('ปฏิทิน'!AS5))</f>
        <v/>
      </c>
      <c r="AT6" s="593">
        <f>IF('ปฏิทิน'!AT5="","",DAY('ปฏิทิน'!AT5))</f>
        <v/>
      </c>
      <c r="AU6" s="593">
        <f>IF('ปฏิทิน'!AU5="","",DAY('ปฏิทิน'!AU5))</f>
        <v/>
      </c>
      <c r="AV6" s="593">
        <f>IF('ปฏิทิน'!AV5="","",DAY('ปฏิทิน'!AV5))</f>
        <v/>
      </c>
      <c r="AW6" s="593">
        <f>IF('ปฏิทิน'!AW5="","",DAY('ปฏิทิน'!AW5))</f>
        <v/>
      </c>
      <c r="AX6" s="593">
        <f>IF('ปฏิทิน'!AX5="","",DAY('ปฏิทิน'!AX5))</f>
        <v/>
      </c>
      <c r="AY6" s="593">
        <f>IF('ปฏิทิน'!AY5="","",DAY('ปฏิทิน'!AY5))</f>
        <v/>
      </c>
      <c r="AZ6" s="593">
        <f>IF('ปฏิทิน'!AZ5="","",DAY('ปฏิทิน'!AZ5))</f>
        <v/>
      </c>
      <c r="BA6" s="593">
        <f>IF('ปฏิทิน'!BA5="","",DAY('ปฏิทิน'!BA5))</f>
        <v/>
      </c>
      <c r="BB6" s="593">
        <f>IF('ปฏิทิน'!BB5="","",DAY('ปฏิทิน'!BB5))</f>
        <v/>
      </c>
      <c r="BC6" s="593">
        <f>IF('ปฏิทิน'!BC5="","",DAY('ปฏิทิน'!BC5))</f>
        <v/>
      </c>
      <c r="BD6" s="593">
        <f>IF('ปฏิทิน'!BD5="","",DAY('ปฏิทิน'!BD5))</f>
        <v/>
      </c>
      <c r="BE6" s="593">
        <f>IF('ปฏิทิน'!BE5="","",DAY('ปฏิทิน'!BE5))</f>
        <v/>
      </c>
      <c r="BF6" s="593">
        <f>IF('ปฏิทิน'!BF5="","",DAY('ปฏิทิน'!BF5))</f>
        <v/>
      </c>
      <c r="BG6" s="593">
        <f>IF('ปฏิทิน'!BG5="","",DAY('ปฏิทิน'!BG5))</f>
        <v/>
      </c>
      <c r="BH6" s="593">
        <f>IF('ปฏิทิน'!BH5="","",DAY('ปฏิทิน'!BH5))</f>
        <v/>
      </c>
      <c r="BI6" s="593">
        <f>IF('ปฏิทิน'!BI5="","",DAY('ปฏิทิน'!BI5))</f>
        <v/>
      </c>
      <c r="BJ6" s="593">
        <f>IF('ปฏิทิน'!BJ5="","",DAY('ปฏิทิน'!BJ5))</f>
        <v/>
      </c>
      <c r="BK6" s="593">
        <f>IF('ปฏิทิน'!BK5="","",DAY('ปฏิทิน'!BK5))</f>
        <v/>
      </c>
      <c r="BL6" s="593">
        <f>IF('ปฏิทิน'!BL5="","",DAY('ปฏิทิน'!BL5))</f>
        <v/>
      </c>
      <c r="BM6" s="593">
        <f>IF('ปฏิทิน'!BM5="","",DAY('ปฏิทิน'!BM5))</f>
        <v/>
      </c>
      <c r="BN6" s="593">
        <f>IF('ปฏิทิน'!BN5="","",DAY('ปฏิทิน'!BN5))</f>
        <v/>
      </c>
      <c r="BO6" s="593">
        <f>IF('ปฏิทิน'!BO5="","",DAY('ปฏิทิน'!BO5))</f>
        <v/>
      </c>
      <c r="BP6" s="593">
        <f>IF('ปฏิทิน'!BP5="","",DAY('ปฏิทิน'!BP5))</f>
        <v/>
      </c>
      <c r="BQ6" s="597" t="inlineStr">
        <is>
          <t>ทำ</t>
        </is>
      </c>
      <c r="BR6" s="598" t="inlineStr">
        <is>
          <t>ไม่
ทำ</t>
        </is>
      </c>
      <c r="BS6" s="599" t="inlineStr">
        <is>
          <t>ร้อยละ</t>
        </is>
      </c>
      <c r="BT6" s="596">
        <f>IF('ปฏิทิน'!BT5="","",DAY('ปฏิทิน'!BT5))</f>
        <v/>
      </c>
      <c r="BU6" s="593">
        <f>IF('ปฏิทิน'!BU5="","",DAY('ปฏิทิน'!BU5))</f>
        <v/>
      </c>
      <c r="BV6" s="593">
        <f>IF('ปฏิทิน'!BV5="","",DAY('ปฏิทิน'!BV5))</f>
        <v/>
      </c>
      <c r="BW6" s="593">
        <f>IF('ปฏิทิน'!BW5="","",DAY('ปฏิทิน'!BW5))</f>
        <v/>
      </c>
      <c r="BX6" s="593">
        <f>IF('ปฏิทิน'!BX5="","",DAY('ปฏิทิน'!BX5))</f>
        <v/>
      </c>
      <c r="BY6" s="593">
        <f>IF('ปฏิทิน'!BY5="","",DAY('ปฏิทิน'!BY5))</f>
        <v/>
      </c>
      <c r="BZ6" s="593">
        <f>IF('ปฏิทิน'!BZ5="","",DAY('ปฏิทิน'!BZ5))</f>
        <v/>
      </c>
      <c r="CA6" s="593">
        <f>IF('ปฏิทิน'!CA5="","",DAY('ปฏิทิน'!CA5))</f>
        <v/>
      </c>
      <c r="CB6" s="593">
        <f>IF('ปฏิทิน'!CB5="","",DAY('ปฏิทิน'!CB5))</f>
        <v/>
      </c>
      <c r="CC6" s="593">
        <f>IF('ปฏิทิน'!CC5="","",DAY('ปฏิทิน'!CC5))</f>
        <v/>
      </c>
      <c r="CD6" s="593">
        <f>IF('ปฏิทิน'!CD5="","",DAY('ปฏิทิน'!CD5))</f>
        <v/>
      </c>
      <c r="CE6" s="593">
        <f>IF('ปฏิทิน'!CE5="","",DAY('ปฏิทิน'!CE5))</f>
        <v/>
      </c>
      <c r="CF6" s="593">
        <f>IF('ปฏิทิน'!CF5="","",DAY('ปฏิทิน'!CF5))</f>
        <v/>
      </c>
      <c r="CG6" s="593">
        <f>IF('ปฏิทิน'!CG5="","",DAY('ปฏิทิน'!CG5))</f>
        <v/>
      </c>
      <c r="CH6" s="593">
        <f>IF('ปฏิทิน'!CH5="","",DAY('ปฏิทิน'!CH5))</f>
        <v/>
      </c>
      <c r="CI6" s="593">
        <f>IF('ปฏิทิน'!CI5="","",DAY('ปฏิทิน'!CI5))</f>
        <v/>
      </c>
      <c r="CJ6" s="593">
        <f>IF('ปฏิทิน'!CJ5="","",DAY('ปฏิทิน'!CJ5))</f>
        <v/>
      </c>
      <c r="CK6" s="593">
        <f>IF('ปฏิทิน'!CK5="","",DAY('ปฏิทิน'!CK5))</f>
        <v/>
      </c>
      <c r="CL6" s="593">
        <f>IF('ปฏิทิน'!CL5="","",DAY('ปฏิทิน'!CL5))</f>
        <v/>
      </c>
      <c r="CM6" s="593">
        <f>IF('ปฏิทิน'!CM5="","",DAY('ปฏิทิน'!CM5))</f>
        <v/>
      </c>
      <c r="CN6" s="593">
        <f>IF('ปฏิทิน'!CN5="","",DAY('ปฏิทิน'!CN5))</f>
        <v/>
      </c>
      <c r="CO6" s="593">
        <f>IF('ปฏิทิน'!CO5="","",DAY('ปฏิทิน'!CO5))</f>
        <v/>
      </c>
      <c r="CP6" s="593">
        <f>IF('ปฏิทิน'!CP5="","",DAY('ปฏิทิน'!CP5))</f>
        <v/>
      </c>
      <c r="CQ6" s="593">
        <f>IF('ปฏิทิน'!CQ5="","",DAY('ปฏิทิน'!CQ5))</f>
        <v/>
      </c>
      <c r="CR6" s="593">
        <f>IF('ปฏิทิน'!CR5="","",DAY('ปฏิทิน'!CR5))</f>
        <v/>
      </c>
      <c r="CS6" s="593">
        <f>IF('ปฏิทิน'!CS5="","",DAY('ปฏิทิน'!CS5))</f>
        <v/>
      </c>
      <c r="CT6" s="593">
        <f>IF('ปฏิทิน'!CT5="","",DAY('ปฏิทิน'!CT5))</f>
        <v/>
      </c>
      <c r="CU6" s="593">
        <f>IF('ปฏิทิน'!CU5="","",DAY('ปฏิทิน'!CU5))</f>
        <v/>
      </c>
      <c r="CV6" s="593">
        <f>IF('ปฏิทิน'!CV5="","",DAY('ปฏิทิน'!CV5))</f>
        <v/>
      </c>
      <c r="CW6" s="593">
        <f>IF('ปฏิทิน'!CW5="","",DAY('ปฏิทิน'!CW5))</f>
        <v/>
      </c>
      <c r="CX6" s="593">
        <f>IF('ปฏิทิน'!CX5="","",DAY('ปฏิทิน'!CX5))</f>
        <v/>
      </c>
      <c r="CY6" s="597" t="inlineStr">
        <is>
          <t>ทำ</t>
        </is>
      </c>
      <c r="CZ6" s="598" t="inlineStr">
        <is>
          <t>ไม่
ทำ</t>
        </is>
      </c>
      <c r="DA6" s="599" t="inlineStr">
        <is>
          <t>ร้อยละ</t>
        </is>
      </c>
      <c r="DB6" s="596">
        <f>IF('ปฏิทิน'!DB5="","",DAY('ปฏิทิน'!DB5))</f>
        <v/>
      </c>
      <c r="DC6" s="593">
        <f>IF('ปฏิทิน'!DC5="","",DAY('ปฏิทิน'!DC5))</f>
        <v/>
      </c>
      <c r="DD6" s="593">
        <f>IF('ปฏิทิน'!DD5="","",DAY('ปฏิทิน'!DD5))</f>
        <v/>
      </c>
      <c r="DE6" s="593">
        <f>IF('ปฏิทิน'!DE5="","",DAY('ปฏิทิน'!DE5))</f>
        <v/>
      </c>
      <c r="DF6" s="593">
        <f>IF('ปฏิทิน'!DF5="","",DAY('ปฏิทิน'!DF5))</f>
        <v/>
      </c>
      <c r="DG6" s="593">
        <f>IF('ปฏิทิน'!DG5="","",DAY('ปฏิทิน'!DG5))</f>
        <v/>
      </c>
      <c r="DH6" s="593">
        <f>IF('ปฏิทิน'!DH5="","",DAY('ปฏิทิน'!DH5))</f>
        <v/>
      </c>
      <c r="DI6" s="593">
        <f>IF('ปฏิทิน'!DI5="","",DAY('ปฏิทิน'!DI5))</f>
        <v/>
      </c>
      <c r="DJ6" s="593">
        <f>IF('ปฏิทิน'!DJ5="","",DAY('ปฏิทิน'!DJ5))</f>
        <v/>
      </c>
      <c r="DK6" s="593">
        <f>IF('ปฏิทิน'!DK5="","",DAY('ปฏิทิน'!DK5))</f>
        <v/>
      </c>
      <c r="DL6" s="593">
        <f>IF('ปฏิทิน'!DL5="","",DAY('ปฏิทิน'!DL5))</f>
        <v/>
      </c>
      <c r="DM6" s="593">
        <f>IF('ปฏิทิน'!DM5="","",DAY('ปฏิทิน'!DM5))</f>
        <v/>
      </c>
      <c r="DN6" s="593">
        <f>IF('ปฏิทิน'!DN5="","",DAY('ปฏิทิน'!DN5))</f>
        <v/>
      </c>
      <c r="DO6" s="593">
        <f>IF('ปฏิทิน'!DO5="","",DAY('ปฏิทิน'!DO5))</f>
        <v/>
      </c>
      <c r="DP6" s="593">
        <f>IF('ปฏิทิน'!DP5="","",DAY('ปฏิทิน'!DP5))</f>
        <v/>
      </c>
      <c r="DQ6" s="593">
        <f>IF('ปฏิทิน'!DQ5="","",DAY('ปฏิทิน'!DQ5))</f>
        <v/>
      </c>
      <c r="DR6" s="593">
        <f>IF('ปฏิทิน'!DR5="","",DAY('ปฏิทิน'!DR5))</f>
        <v/>
      </c>
      <c r="DS6" s="593">
        <f>IF('ปฏิทิน'!DS5="","",DAY('ปฏิทิน'!DS5))</f>
        <v/>
      </c>
      <c r="DT6" s="593">
        <f>IF('ปฏิทิน'!DT5="","",DAY('ปฏิทิน'!DT5))</f>
        <v/>
      </c>
      <c r="DU6" s="593">
        <f>IF('ปฏิทิน'!DU5="","",DAY('ปฏิทิน'!DU5))</f>
        <v/>
      </c>
      <c r="DV6" s="593">
        <f>IF('ปฏิทิน'!DV5="","",DAY('ปฏิทิน'!DV5))</f>
        <v/>
      </c>
      <c r="DW6" s="593">
        <f>IF('ปฏิทิน'!DW5="","",DAY('ปฏิทิน'!DW5))</f>
        <v/>
      </c>
      <c r="DX6" s="593">
        <f>IF('ปฏิทิน'!DX5="","",DAY('ปฏิทิน'!DX5))</f>
        <v/>
      </c>
      <c r="DY6" s="593">
        <f>IF('ปฏิทิน'!DY5="","",DAY('ปฏิทิน'!DY5))</f>
        <v/>
      </c>
      <c r="DZ6" s="593">
        <f>IF('ปฏิทิน'!DZ5="","",DAY('ปฏิทิน'!DZ5))</f>
        <v/>
      </c>
      <c r="EA6" s="593">
        <f>IF('ปฏิทิน'!EA5="","",DAY('ปฏิทิน'!EA5))</f>
        <v/>
      </c>
      <c r="EB6" s="593">
        <f>IF('ปฏิทิน'!EB5="","",DAY('ปฏิทิน'!EB5))</f>
        <v/>
      </c>
      <c r="EC6" s="593">
        <f>IF('ปฏิทิน'!EC5="","",DAY('ปฏิทิน'!EC5))</f>
        <v/>
      </c>
      <c r="ED6" s="593">
        <f>IF('ปฏิทิน'!ED5="","",DAY('ปฏิทิน'!ED5))</f>
        <v/>
      </c>
      <c r="EE6" s="593">
        <f>IF('ปฏิทิน'!EE5="","",DAY('ปฏิทิน'!EE5))</f>
        <v/>
      </c>
      <c r="EF6" s="593">
        <f>IF('ปฏิทิน'!EF5="","",DAY('ปฏิทิน'!EF5))</f>
        <v/>
      </c>
      <c r="EG6" s="597" t="inlineStr">
        <is>
          <t>ทำ</t>
        </is>
      </c>
      <c r="EH6" s="598" t="inlineStr">
        <is>
          <t>ไม่
ทำ</t>
        </is>
      </c>
      <c r="EI6" s="599" t="inlineStr">
        <is>
          <t>ร้อยละ</t>
        </is>
      </c>
      <c r="EJ6" s="596">
        <f>IF('ปฏิทิน'!EJ5="","",DAY('ปฏิทิน'!EJ5))</f>
        <v/>
      </c>
      <c r="EK6" s="593">
        <f>IF('ปฏิทิน'!EK5="","",DAY('ปฏิทิน'!EK5))</f>
        <v/>
      </c>
      <c r="EL6" s="593">
        <f>IF('ปฏิทิน'!EL5="","",DAY('ปฏิทิน'!EL5))</f>
        <v/>
      </c>
      <c r="EM6" s="593">
        <f>IF('ปฏิทิน'!EM5="","",DAY('ปฏิทิน'!EM5))</f>
        <v/>
      </c>
      <c r="EN6" s="593">
        <f>IF('ปฏิทิน'!EN5="","",DAY('ปฏิทิน'!EN5))</f>
        <v/>
      </c>
      <c r="EO6" s="593">
        <f>IF('ปฏิทิน'!EO5="","",DAY('ปฏิทิน'!EO5))</f>
        <v/>
      </c>
      <c r="EP6" s="593">
        <f>IF('ปฏิทิน'!EP5="","",DAY('ปฏิทิน'!EP5))</f>
        <v/>
      </c>
      <c r="EQ6" s="593">
        <f>IF('ปฏิทิน'!EQ5="","",DAY('ปฏิทิน'!EQ5))</f>
        <v/>
      </c>
      <c r="ER6" s="593">
        <f>IF('ปฏิทิน'!ER5="","",DAY('ปฏิทิน'!ER5))</f>
        <v/>
      </c>
      <c r="ES6" s="593">
        <f>IF('ปฏิทิน'!ES5="","",DAY('ปฏิทิน'!ES5))</f>
        <v/>
      </c>
      <c r="ET6" s="593">
        <f>IF('ปฏิทิน'!ET5="","",DAY('ปฏิทิน'!ET5))</f>
        <v/>
      </c>
      <c r="EU6" s="593">
        <f>IF('ปฏิทิน'!EU5="","",DAY('ปฏิทิน'!EU5))</f>
        <v/>
      </c>
      <c r="EV6" s="593">
        <f>IF('ปฏิทิน'!EV5="","",DAY('ปฏิทิน'!EV5))</f>
        <v/>
      </c>
      <c r="EW6" s="593">
        <f>IF('ปฏิทิน'!EW5="","",DAY('ปฏิทิน'!EW5))</f>
        <v/>
      </c>
      <c r="EX6" s="593">
        <f>IF('ปฏิทิน'!EX5="","",DAY('ปฏิทิน'!EX5))</f>
        <v/>
      </c>
      <c r="EY6" s="593">
        <f>IF('ปฏิทิน'!EY5="","",DAY('ปฏิทิน'!EY5))</f>
        <v/>
      </c>
      <c r="EZ6" s="593">
        <f>IF('ปฏิทิน'!EZ5="","",DAY('ปฏิทิน'!EZ5))</f>
        <v/>
      </c>
      <c r="FA6" s="593">
        <f>IF('ปฏิทิน'!FA5="","",DAY('ปฏิทิน'!FA5))</f>
        <v/>
      </c>
      <c r="FB6" s="593">
        <f>IF('ปฏิทิน'!FB5="","",DAY('ปฏิทิน'!FB5))</f>
        <v/>
      </c>
      <c r="FC6" s="593">
        <f>IF('ปฏิทิน'!FC5="","",DAY('ปฏิทิน'!FC5))</f>
        <v/>
      </c>
      <c r="FD6" s="593">
        <f>IF('ปฏิทิน'!FD5="","",DAY('ปฏิทิน'!FD5))</f>
        <v/>
      </c>
      <c r="FE6" s="593">
        <f>IF('ปฏิทิน'!FE5="","",DAY('ปฏิทิน'!FE5))</f>
        <v/>
      </c>
      <c r="FF6" s="593">
        <f>IF('ปฏิทิน'!FF5="","",DAY('ปฏิทิน'!FF5))</f>
        <v/>
      </c>
      <c r="FG6" s="593">
        <f>IF('ปฏิทิน'!FG5="","",DAY('ปฏิทิน'!FG5))</f>
        <v/>
      </c>
      <c r="FH6" s="593">
        <f>IF('ปฏิทิน'!FH5="","",DAY('ปฏิทิน'!FH5))</f>
        <v/>
      </c>
      <c r="FI6" s="593">
        <f>IF('ปฏิทิน'!FI5="","",DAY('ปฏิทิน'!FI5))</f>
        <v/>
      </c>
      <c r="FJ6" s="593">
        <f>IF('ปฏิทิน'!FJ5="","",DAY('ปฏิทิน'!FJ5))</f>
        <v/>
      </c>
      <c r="FK6" s="593">
        <f>IF('ปฏิทิน'!FK5="","",DAY('ปฏิทิน'!FK5))</f>
        <v/>
      </c>
      <c r="FL6" s="593">
        <f>IF('ปฏิทิน'!FL5="","",DAY('ปฏิทิน'!FL5))</f>
        <v/>
      </c>
      <c r="FM6" s="593">
        <f>IF('ปฏิทิน'!FM5="","",DAY('ปฏิทิน'!FM5))</f>
        <v/>
      </c>
      <c r="FN6" s="593">
        <f>IF('ปฏิทิน'!FN5="","",DAY('ปฏิทิน'!FN5))</f>
        <v/>
      </c>
      <c r="FO6" s="597" t="inlineStr">
        <is>
          <t>ทำ</t>
        </is>
      </c>
      <c r="FP6" s="598" t="inlineStr">
        <is>
          <t>ไม่
ทำ</t>
        </is>
      </c>
      <c r="FQ6" s="599" t="inlineStr">
        <is>
          <t>ร้อยละ</t>
        </is>
      </c>
    </row>
    <row r="7">
      <c r="D7" s="600">
        <f>IF('ปฏิทิน'!D5="","",CHOOSE(WEEKDAY('ปฏิทิน'!D5,2),"จ.","อ.","พ.","พฤ.","ศ.","ส.","อา."))</f>
        <v/>
      </c>
      <c r="E7" s="601">
        <f>IF('ปฏิทิน'!E5="","",CHOOSE(WEEKDAY('ปฏิทิน'!E5,2),"จ.","อ.","พ.","พฤ.","ศ.","ส.","อา."))</f>
        <v/>
      </c>
      <c r="F7" s="601">
        <f>IF('ปฏิทิน'!F5="","",CHOOSE(WEEKDAY('ปฏิทิน'!F5,2),"จ.","อ.","พ.","พฤ.","ศ.","ส.","อา."))</f>
        <v/>
      </c>
      <c r="G7" s="601">
        <f>IF('ปฏิทิน'!G5="","",CHOOSE(WEEKDAY('ปฏิทิน'!G5,2),"จ.","อ.","พ.","พฤ.","ศ.","ส.","อา."))</f>
        <v/>
      </c>
      <c r="H7" s="601">
        <f>IF('ปฏิทิน'!H5="","",CHOOSE(WEEKDAY('ปฏิทิน'!H5,2),"จ.","อ.","พ.","พฤ.","ศ.","ส.","อา."))</f>
        <v/>
      </c>
      <c r="I7" s="601">
        <f>IF('ปฏิทิน'!I5="","",CHOOSE(WEEKDAY('ปฏิทิน'!I5,2),"จ.","อ.","พ.","พฤ.","ศ.","ส.","อา."))</f>
        <v/>
      </c>
      <c r="J7" s="601">
        <f>IF('ปฏิทิน'!J5="","",CHOOSE(WEEKDAY('ปฏิทิน'!J5,2),"จ.","อ.","พ.","พฤ.","ศ.","ส.","อา."))</f>
        <v/>
      </c>
      <c r="K7" s="601">
        <f>IF('ปฏิทิน'!K5="","",CHOOSE(WEEKDAY('ปฏิทิน'!K5,2),"จ.","อ.","พ.","พฤ.","ศ.","ส.","อา."))</f>
        <v/>
      </c>
      <c r="L7" s="601">
        <f>IF('ปฏิทิน'!L5="","",CHOOSE(WEEKDAY('ปฏิทิน'!L5,2),"จ.","อ.","พ.","พฤ.","ศ.","ส.","อา."))</f>
        <v/>
      </c>
      <c r="M7" s="601">
        <f>IF('ปฏิทิน'!M5="","",CHOOSE(WEEKDAY('ปฏิทิน'!M5,2),"จ.","อ.","พ.","พฤ.","ศ.","ส.","อา."))</f>
        <v/>
      </c>
      <c r="N7" s="601">
        <f>IF('ปฏิทิน'!N5="","",CHOOSE(WEEKDAY('ปฏิทิน'!N5,2),"จ.","อ.","พ.","พฤ.","ศ.","ส.","อา."))</f>
        <v/>
      </c>
      <c r="O7" s="601">
        <f>IF('ปฏิทิน'!O5="","",CHOOSE(WEEKDAY('ปฏิทิน'!O5,2),"จ.","อ.","พ.","พฤ.","ศ.","ส.","อา."))</f>
        <v/>
      </c>
      <c r="P7" s="601">
        <f>IF('ปฏิทิน'!P5="","",CHOOSE(WEEKDAY('ปฏิทิน'!P5,2),"จ.","อ.","พ.","พฤ.","ศ.","ส.","อา."))</f>
        <v/>
      </c>
      <c r="Q7" s="601">
        <f>IF('ปฏิทิน'!Q5="","",CHOOSE(WEEKDAY('ปฏิทิน'!Q5,2),"จ.","อ.","พ.","พฤ.","ศ.","ส.","อา."))</f>
        <v/>
      </c>
      <c r="R7" s="601">
        <f>IF('ปฏิทิน'!R5="","",CHOOSE(WEEKDAY('ปฏิทิน'!R5,2),"จ.","อ.","พ.","พฤ.","ศ.","ส.","อา."))</f>
        <v/>
      </c>
      <c r="S7" s="601">
        <f>IF('ปฏิทิน'!S5="","",CHOOSE(WEEKDAY('ปฏิทิน'!S5,2),"จ.","อ.","พ.","พฤ.","ศ.","ส.","อา."))</f>
        <v/>
      </c>
      <c r="T7" s="601">
        <f>IF('ปฏิทิน'!T5="","",CHOOSE(WEEKDAY('ปฏิทิน'!T5,2),"จ.","อ.","พ.","พฤ.","ศ.","ส.","อา."))</f>
        <v/>
      </c>
      <c r="U7" s="601">
        <f>IF('ปฏิทิน'!U5="","",CHOOSE(WEEKDAY('ปฏิทิน'!U5,2),"จ.","อ.","พ.","พฤ.","ศ.","ส.","อา."))</f>
        <v/>
      </c>
      <c r="V7" s="601">
        <f>IF('ปฏิทิน'!V5="","",CHOOSE(WEEKDAY('ปฏิทิน'!V5,2),"จ.","อ.","พ.","พฤ.","ศ.","ส.","อา."))</f>
        <v/>
      </c>
      <c r="W7" s="601">
        <f>IF('ปฏิทิน'!W5="","",CHOOSE(WEEKDAY('ปฏิทิน'!W5,2),"จ.","อ.","พ.","พฤ.","ศ.","ส.","อา."))</f>
        <v/>
      </c>
      <c r="X7" s="601">
        <f>IF('ปฏิทิน'!X5="","",CHOOSE(WEEKDAY('ปฏิทิน'!X5,2),"จ.","อ.","พ.","พฤ.","ศ.","ส.","อา."))</f>
        <v/>
      </c>
      <c r="Y7" s="601">
        <f>IF('ปฏิทิน'!Y5="","",CHOOSE(WEEKDAY('ปฏิทิน'!Y5,2),"จ.","อ.","พ.","พฤ.","ศ.","ส.","อา."))</f>
        <v/>
      </c>
      <c r="Z7" s="601">
        <f>IF('ปฏิทิน'!Z5="","",CHOOSE(WEEKDAY('ปฏิทิน'!Z5,2),"จ.","อ.","พ.","พฤ.","ศ.","ส.","อา."))</f>
        <v/>
      </c>
      <c r="AA7" s="601">
        <f>IF('ปฏิทิน'!AA5="","",CHOOSE(WEEKDAY('ปฏิทิน'!AA5,2),"จ.","อ.","พ.","พฤ.","ศ.","ส.","อา."))</f>
        <v/>
      </c>
      <c r="AB7" s="601">
        <f>IF('ปฏิทิน'!AB5="","",CHOOSE(WEEKDAY('ปฏิทิน'!AB5,2),"จ.","อ.","พ.","พฤ.","ศ.","ส.","อา."))</f>
        <v/>
      </c>
      <c r="AC7" s="601">
        <f>IF('ปฏิทิน'!AC5="","",CHOOSE(WEEKDAY('ปฏิทิน'!AC5,2),"จ.","อ.","พ.","พฤ.","ศ.","ส.","อา."))</f>
        <v/>
      </c>
      <c r="AD7" s="601">
        <f>IF('ปฏิทิน'!AD5="","",CHOOSE(WEEKDAY('ปฏิทิน'!AD5,2),"จ.","อ.","พ.","พฤ.","ศ.","ส.","อา."))</f>
        <v/>
      </c>
      <c r="AE7" s="601">
        <f>IF('ปฏิทิน'!AE5="","",CHOOSE(WEEKDAY('ปฏิทิน'!AE5,2),"จ.","อ.","พ.","พฤ.","ศ.","ส.","อา."))</f>
        <v/>
      </c>
      <c r="AF7" s="601">
        <f>IF('ปฏิทิน'!AF5="","",CHOOSE(WEEKDAY('ปฏิทิน'!AF5,2),"จ.","อ.","พ.","พฤ.","ศ.","ส.","อา."))</f>
        <v/>
      </c>
      <c r="AG7" s="601">
        <f>IF('ปฏิทิน'!AG5="","",CHOOSE(WEEKDAY('ปฏิทิน'!AG5,2),"จ.","อ.","พ.","พฤ.","ศ.","ส.","อา."))</f>
        <v/>
      </c>
      <c r="AH7" s="601">
        <f>IF('ปฏิทิน'!AH5="","",CHOOSE(WEEKDAY('ปฏิทิน'!AH5,2),"จ.","อ.","พ.","พฤ.","ศ.","ส.","อา."))</f>
        <v/>
      </c>
      <c r="AI7" s="602" t="n"/>
      <c r="AL7" s="600">
        <f>IF('ปฏิทิน'!AL5="","",CHOOSE(WEEKDAY('ปฏิทิน'!AL5,2),"จ.","อ.","พ.","พฤ.","ศ.","ส.","อา."))</f>
        <v/>
      </c>
      <c r="AM7" s="601">
        <f>IF('ปฏิทิน'!AM5="","",CHOOSE(WEEKDAY('ปฏิทิน'!AM5,2),"จ.","อ.","พ.","พฤ.","ศ.","ส.","อา."))</f>
        <v/>
      </c>
      <c r="AN7" s="601">
        <f>IF('ปฏิทิน'!AN5="","",CHOOSE(WEEKDAY('ปฏิทิน'!AN5,2),"จ.","อ.","พ.","พฤ.","ศ.","ส.","อา."))</f>
        <v/>
      </c>
      <c r="AO7" s="601">
        <f>IF('ปฏิทิน'!AO5="","",CHOOSE(WEEKDAY('ปฏิทิน'!AO5,2),"จ.","อ.","พ.","พฤ.","ศ.","ส.","อา."))</f>
        <v/>
      </c>
      <c r="AP7" s="601">
        <f>IF('ปฏิทิน'!AP5="","",CHOOSE(WEEKDAY('ปฏิทิน'!AP5,2),"จ.","อ.","พ.","พฤ.","ศ.","ส.","อา."))</f>
        <v/>
      </c>
      <c r="AQ7" s="601">
        <f>IF('ปฏิทิน'!AQ5="","",CHOOSE(WEEKDAY('ปฏิทิน'!AQ5,2),"จ.","อ.","พ.","พฤ.","ศ.","ส.","อา."))</f>
        <v/>
      </c>
      <c r="AR7" s="601">
        <f>IF('ปฏิทิน'!AR5="","",CHOOSE(WEEKDAY('ปฏิทิน'!AR5,2),"จ.","อ.","พ.","พฤ.","ศ.","ส.","อา."))</f>
        <v/>
      </c>
      <c r="AS7" s="601">
        <f>IF('ปฏิทิน'!AS5="","",CHOOSE(WEEKDAY('ปฏิทิน'!AS5,2),"จ.","อ.","พ.","พฤ.","ศ.","ส.","อา."))</f>
        <v/>
      </c>
      <c r="AT7" s="601">
        <f>IF('ปฏิทิน'!AT5="","",CHOOSE(WEEKDAY('ปฏิทิน'!AT5,2),"จ.","อ.","พ.","พฤ.","ศ.","ส.","อา."))</f>
        <v/>
      </c>
      <c r="AU7" s="601">
        <f>IF('ปฏิทิน'!AU5="","",CHOOSE(WEEKDAY('ปฏิทิน'!AU5,2),"จ.","อ.","พ.","พฤ.","ศ.","ส.","อา."))</f>
        <v/>
      </c>
      <c r="AV7" s="601">
        <f>IF('ปฏิทิน'!AV5="","",CHOOSE(WEEKDAY('ปฏิทิน'!AV5,2),"จ.","อ.","พ.","พฤ.","ศ.","ส.","อา."))</f>
        <v/>
      </c>
      <c r="AW7" s="601">
        <f>IF('ปฏิทิน'!AW5="","",CHOOSE(WEEKDAY('ปฏิทิน'!AW5,2),"จ.","อ.","พ.","พฤ.","ศ.","ส.","อา."))</f>
        <v/>
      </c>
      <c r="AX7" s="601">
        <f>IF('ปฏิทิน'!AX5="","",CHOOSE(WEEKDAY('ปฏิทิน'!AX5,2),"จ.","อ.","พ.","พฤ.","ศ.","ส.","อา."))</f>
        <v/>
      </c>
      <c r="AY7" s="601">
        <f>IF('ปฏิทิน'!AY5="","",CHOOSE(WEEKDAY('ปฏิทิน'!AY5,2),"จ.","อ.","พ.","พฤ.","ศ.","ส.","อา."))</f>
        <v/>
      </c>
      <c r="AZ7" s="601">
        <f>IF('ปฏิทิน'!AZ5="","",CHOOSE(WEEKDAY('ปฏิทิน'!AZ5,2),"จ.","อ.","พ.","พฤ.","ศ.","ส.","อา."))</f>
        <v/>
      </c>
      <c r="BA7" s="601">
        <f>IF('ปฏิทิน'!BA5="","",CHOOSE(WEEKDAY('ปฏิทิน'!BA5,2),"จ.","อ.","พ.","พฤ.","ศ.","ส.","อา."))</f>
        <v/>
      </c>
      <c r="BB7" s="601">
        <f>IF('ปฏิทิน'!BB5="","",CHOOSE(WEEKDAY('ปฏิทิน'!BB5,2),"จ.","อ.","พ.","พฤ.","ศ.","ส.","อา."))</f>
        <v/>
      </c>
      <c r="BC7" s="601">
        <f>IF('ปฏิทิน'!BC5="","",CHOOSE(WEEKDAY('ปฏิทิน'!BC5,2),"จ.","อ.","พ.","พฤ.","ศ.","ส.","อา."))</f>
        <v/>
      </c>
      <c r="BD7" s="601">
        <f>IF('ปฏิทิน'!BD5="","",CHOOSE(WEEKDAY('ปฏิทิน'!BD5,2),"จ.","อ.","พ.","พฤ.","ศ.","ส.","อา."))</f>
        <v/>
      </c>
      <c r="BE7" s="601">
        <f>IF('ปฏิทิน'!BE5="","",CHOOSE(WEEKDAY('ปฏิทิน'!BE5,2),"จ.","อ.","พ.","พฤ.","ศ.","ส.","อา."))</f>
        <v/>
      </c>
      <c r="BF7" s="601">
        <f>IF('ปฏิทิน'!BF5="","",CHOOSE(WEEKDAY('ปฏิทิน'!BF5,2),"จ.","อ.","พ.","พฤ.","ศ.","ส.","อา."))</f>
        <v/>
      </c>
      <c r="BG7" s="601">
        <f>IF('ปฏิทิน'!BG5="","",CHOOSE(WEEKDAY('ปฏิทิน'!BG5,2),"จ.","อ.","พ.","พฤ.","ศ.","ส.","อา."))</f>
        <v/>
      </c>
      <c r="BH7" s="601">
        <f>IF('ปฏิทิน'!BH5="","",CHOOSE(WEEKDAY('ปฏิทิน'!BH5,2),"จ.","อ.","พ.","พฤ.","ศ.","ส.","อา."))</f>
        <v/>
      </c>
      <c r="BI7" s="601">
        <f>IF('ปฏิทิน'!BI5="","",CHOOSE(WEEKDAY('ปฏิทิน'!BI5,2),"จ.","อ.","พ.","พฤ.","ศ.","ส.","อา."))</f>
        <v/>
      </c>
      <c r="BJ7" s="601">
        <f>IF('ปฏิทิน'!BJ5="","",CHOOSE(WEEKDAY('ปฏิทิน'!BJ5,2),"จ.","อ.","พ.","พฤ.","ศ.","ส.","อา."))</f>
        <v/>
      </c>
      <c r="BK7" s="601">
        <f>IF('ปฏิทิน'!BK5="","",CHOOSE(WEEKDAY('ปฏิทิน'!BK5,2),"จ.","อ.","พ.","พฤ.","ศ.","ส.","อา."))</f>
        <v/>
      </c>
      <c r="BL7" s="601">
        <f>IF('ปฏิทิน'!BL5="","",CHOOSE(WEEKDAY('ปฏิทิน'!BL5,2),"จ.","อ.","พ.","พฤ.","ศ.","ส.","อา."))</f>
        <v/>
      </c>
      <c r="BM7" s="601">
        <f>IF('ปฏิทิน'!BM5="","",CHOOSE(WEEKDAY('ปฏิทิน'!BM5,2),"จ.","อ.","พ.","พฤ.","ศ.","ส.","อา."))</f>
        <v/>
      </c>
      <c r="BN7" s="601">
        <f>IF('ปฏิทิน'!BN5="","",CHOOSE(WEEKDAY('ปฏิทิน'!BN5,2),"จ.","อ.","พ.","พฤ.","ศ.","ส.","อา."))</f>
        <v/>
      </c>
      <c r="BO7" s="601">
        <f>IF('ปฏิทิน'!BO5="","",CHOOSE(WEEKDAY('ปฏิทิน'!BO5,2),"จ.","อ.","พ.","พฤ.","ศ.","ส.","อา."))</f>
        <v/>
      </c>
      <c r="BP7" s="601">
        <f>IF('ปฏิทิน'!BP5="","",CHOOSE(WEEKDAY('ปฏิทิน'!BP5,2),"จ.","อ.","พ.","พฤ.","ศ.","ส.","อา."))</f>
        <v/>
      </c>
      <c r="BQ7" s="602" t="n"/>
      <c r="BT7" s="600">
        <f>IF('ปฏิทิน'!BT5="","",CHOOSE(WEEKDAY('ปฏิทิน'!BT5,2),"จ.","อ.","พ.","พฤ.","ศ.","ส.","อา."))</f>
        <v/>
      </c>
      <c r="BU7" s="601">
        <f>IF('ปฏิทิน'!BU5="","",CHOOSE(WEEKDAY('ปฏิทิน'!BU5,2),"จ.","อ.","พ.","พฤ.","ศ.","ส.","อา."))</f>
        <v/>
      </c>
      <c r="BV7" s="601">
        <f>IF('ปฏิทิน'!BV5="","",CHOOSE(WEEKDAY('ปฏิทิน'!BV5,2),"จ.","อ.","พ.","พฤ.","ศ.","ส.","อา."))</f>
        <v/>
      </c>
      <c r="BW7" s="601">
        <f>IF('ปฏิทิน'!BW5="","",CHOOSE(WEEKDAY('ปฏิทิน'!BW5,2),"จ.","อ.","พ.","พฤ.","ศ.","ส.","อา."))</f>
        <v/>
      </c>
      <c r="BX7" s="601">
        <f>IF('ปฏิทิน'!BX5="","",CHOOSE(WEEKDAY('ปฏิทิน'!BX5,2),"จ.","อ.","พ.","พฤ.","ศ.","ส.","อา."))</f>
        <v/>
      </c>
      <c r="BY7" s="601">
        <f>IF('ปฏิทิน'!BY5="","",CHOOSE(WEEKDAY('ปฏิทิน'!BY5,2),"จ.","อ.","พ.","พฤ.","ศ.","ส.","อา."))</f>
        <v/>
      </c>
      <c r="BZ7" s="601">
        <f>IF('ปฏิทิน'!BZ5="","",CHOOSE(WEEKDAY('ปฏิทิน'!BZ5,2),"จ.","อ.","พ.","พฤ.","ศ.","ส.","อา."))</f>
        <v/>
      </c>
      <c r="CA7" s="601">
        <f>IF('ปฏิทิน'!CA5="","",CHOOSE(WEEKDAY('ปฏิทิน'!CA5,2),"จ.","อ.","พ.","พฤ.","ศ.","ส.","อา."))</f>
        <v/>
      </c>
      <c r="CB7" s="601">
        <f>IF('ปฏิทิน'!CB5="","",CHOOSE(WEEKDAY('ปฏิทิน'!CB5,2),"จ.","อ.","พ.","พฤ.","ศ.","ส.","อา."))</f>
        <v/>
      </c>
      <c r="CC7" s="601">
        <f>IF('ปฏิทิน'!CC5="","",CHOOSE(WEEKDAY('ปฏิทิน'!CC5,2),"จ.","อ.","พ.","พฤ.","ศ.","ส.","อา."))</f>
        <v/>
      </c>
      <c r="CD7" s="601">
        <f>IF('ปฏิทิน'!CD5="","",CHOOSE(WEEKDAY('ปฏิทิน'!CD5,2),"จ.","อ.","พ.","พฤ.","ศ.","ส.","อา."))</f>
        <v/>
      </c>
      <c r="CE7" s="601">
        <f>IF('ปฏิทิน'!CE5="","",CHOOSE(WEEKDAY('ปฏิทิน'!CE5,2),"จ.","อ.","พ.","พฤ.","ศ.","ส.","อา."))</f>
        <v/>
      </c>
      <c r="CF7" s="601">
        <f>IF('ปฏิทิน'!CF5="","",CHOOSE(WEEKDAY('ปฏิทิน'!CF5,2),"จ.","อ.","พ.","พฤ.","ศ.","ส.","อา."))</f>
        <v/>
      </c>
      <c r="CG7" s="601">
        <f>IF('ปฏิทิน'!CG5="","",CHOOSE(WEEKDAY('ปฏิทิน'!CG5,2),"จ.","อ.","พ.","พฤ.","ศ.","ส.","อา."))</f>
        <v/>
      </c>
      <c r="CH7" s="601">
        <f>IF('ปฏิทิน'!CH5="","",CHOOSE(WEEKDAY('ปฏิทิน'!CH5,2),"จ.","อ.","พ.","พฤ.","ศ.","ส.","อา."))</f>
        <v/>
      </c>
      <c r="CI7" s="601">
        <f>IF('ปฏิทิน'!CI5="","",CHOOSE(WEEKDAY('ปฏิทิน'!CI5,2),"จ.","อ.","พ.","พฤ.","ศ.","ส.","อา."))</f>
        <v/>
      </c>
      <c r="CJ7" s="601">
        <f>IF('ปฏิทิน'!CJ5="","",CHOOSE(WEEKDAY('ปฏิทิน'!CJ5,2),"จ.","อ.","พ.","พฤ.","ศ.","ส.","อา."))</f>
        <v/>
      </c>
      <c r="CK7" s="601">
        <f>IF('ปฏิทิน'!CK5="","",CHOOSE(WEEKDAY('ปฏิทิน'!CK5,2),"จ.","อ.","พ.","พฤ.","ศ.","ส.","อา."))</f>
        <v/>
      </c>
      <c r="CL7" s="601">
        <f>IF('ปฏิทิน'!CL5="","",CHOOSE(WEEKDAY('ปฏิทิน'!CL5,2),"จ.","อ.","พ.","พฤ.","ศ.","ส.","อา."))</f>
        <v/>
      </c>
      <c r="CM7" s="601">
        <f>IF('ปฏิทิน'!CM5="","",CHOOSE(WEEKDAY('ปฏิทิน'!CM5,2),"จ.","อ.","พ.","พฤ.","ศ.","ส.","อา."))</f>
        <v/>
      </c>
      <c r="CN7" s="601">
        <f>IF('ปฏิทิน'!CN5="","",CHOOSE(WEEKDAY('ปฏิทิน'!CN5,2),"จ.","อ.","พ.","พฤ.","ศ.","ส.","อา."))</f>
        <v/>
      </c>
      <c r="CO7" s="601">
        <f>IF('ปฏิทิน'!CO5="","",CHOOSE(WEEKDAY('ปฏิทิน'!CO5,2),"จ.","อ.","พ.","พฤ.","ศ.","ส.","อา."))</f>
        <v/>
      </c>
      <c r="CP7" s="601">
        <f>IF('ปฏิทิน'!CP5="","",CHOOSE(WEEKDAY('ปฏิทิน'!CP5,2),"จ.","อ.","พ.","พฤ.","ศ.","ส.","อา."))</f>
        <v/>
      </c>
      <c r="CQ7" s="601">
        <f>IF('ปฏิทิน'!CQ5="","",CHOOSE(WEEKDAY('ปฏิทิน'!CQ5,2),"จ.","อ.","พ.","พฤ.","ศ.","ส.","อา."))</f>
        <v/>
      </c>
      <c r="CR7" s="601">
        <f>IF('ปฏิทิน'!CR5="","",CHOOSE(WEEKDAY('ปฏิทิน'!CR5,2),"จ.","อ.","พ.","พฤ.","ศ.","ส.","อา."))</f>
        <v/>
      </c>
      <c r="CS7" s="601">
        <f>IF('ปฏิทิน'!CS5="","",CHOOSE(WEEKDAY('ปฏิทิน'!CS5,2),"จ.","อ.","พ.","พฤ.","ศ.","ส.","อา."))</f>
        <v/>
      </c>
      <c r="CT7" s="601">
        <f>IF('ปฏิทิน'!CT5="","",CHOOSE(WEEKDAY('ปฏิทิน'!CT5,2),"จ.","อ.","พ.","พฤ.","ศ.","ส.","อา."))</f>
        <v/>
      </c>
      <c r="CU7" s="601">
        <f>IF('ปฏิทิน'!CU5="","",CHOOSE(WEEKDAY('ปฏิทิน'!CU5,2),"จ.","อ.","พ.","พฤ.","ศ.","ส.","อา."))</f>
        <v/>
      </c>
      <c r="CV7" s="601">
        <f>IF('ปฏิทิน'!CV5="","",CHOOSE(WEEKDAY('ปฏิทิน'!CV5,2),"จ.","อ.","พ.","พฤ.","ศ.","ส.","อา."))</f>
        <v/>
      </c>
      <c r="CW7" s="601">
        <f>IF('ปฏิทิน'!CW5="","",CHOOSE(WEEKDAY('ปฏิทิน'!CW5,2),"จ.","อ.","พ.","พฤ.","ศ.","ส.","อา."))</f>
        <v/>
      </c>
      <c r="CX7" s="601">
        <f>IF('ปฏิทิน'!CX5="","",CHOOSE(WEEKDAY('ปฏิทิน'!CX5,2),"จ.","อ.","พ.","พฤ.","ศ.","ส.","อา."))</f>
        <v/>
      </c>
      <c r="CY7" s="602" t="n"/>
      <c r="DB7" s="600">
        <f>IF('ปฏิทิน'!DB5="","",CHOOSE(WEEKDAY('ปฏิทิน'!DB5,2),"จ.","อ.","พ.","พฤ.","ศ.","ส.","อา."))</f>
        <v/>
      </c>
      <c r="DC7" s="601">
        <f>IF('ปฏิทิน'!DC5="","",CHOOSE(WEEKDAY('ปฏิทิน'!DC5,2),"จ.","อ.","พ.","พฤ.","ศ.","ส.","อา."))</f>
        <v/>
      </c>
      <c r="DD7" s="601">
        <f>IF('ปฏิทิน'!DD5="","",CHOOSE(WEEKDAY('ปฏิทิน'!DD5,2),"จ.","อ.","พ.","พฤ.","ศ.","ส.","อา."))</f>
        <v/>
      </c>
      <c r="DE7" s="601">
        <f>IF('ปฏิทิน'!DE5="","",CHOOSE(WEEKDAY('ปฏิทิน'!DE5,2),"จ.","อ.","พ.","พฤ.","ศ.","ส.","อา."))</f>
        <v/>
      </c>
      <c r="DF7" s="601">
        <f>IF('ปฏิทิน'!DF5="","",CHOOSE(WEEKDAY('ปฏิทิน'!DF5,2),"จ.","อ.","พ.","พฤ.","ศ.","ส.","อา."))</f>
        <v/>
      </c>
      <c r="DG7" s="601">
        <f>IF('ปฏิทิน'!DG5="","",CHOOSE(WEEKDAY('ปฏิทิน'!DG5,2),"จ.","อ.","พ.","พฤ.","ศ.","ส.","อา."))</f>
        <v/>
      </c>
      <c r="DH7" s="601">
        <f>IF('ปฏิทิน'!DH5="","",CHOOSE(WEEKDAY('ปฏิทิน'!DH5,2),"จ.","อ.","พ.","พฤ.","ศ.","ส.","อา."))</f>
        <v/>
      </c>
      <c r="DI7" s="601">
        <f>IF('ปฏิทิน'!DI5="","",CHOOSE(WEEKDAY('ปฏิทิน'!DI5,2),"จ.","อ.","พ.","พฤ.","ศ.","ส.","อา."))</f>
        <v/>
      </c>
      <c r="DJ7" s="601">
        <f>IF('ปฏิทิน'!DJ5="","",CHOOSE(WEEKDAY('ปฏิทิน'!DJ5,2),"จ.","อ.","พ.","พฤ.","ศ.","ส.","อา."))</f>
        <v/>
      </c>
      <c r="DK7" s="601">
        <f>IF('ปฏิทิน'!DK5="","",CHOOSE(WEEKDAY('ปฏิทิน'!DK5,2),"จ.","อ.","พ.","พฤ.","ศ.","ส.","อา."))</f>
        <v/>
      </c>
      <c r="DL7" s="601">
        <f>IF('ปฏิทิน'!DL5="","",CHOOSE(WEEKDAY('ปฏิทิน'!DL5,2),"จ.","อ.","พ.","พฤ.","ศ.","ส.","อา."))</f>
        <v/>
      </c>
      <c r="DM7" s="601">
        <f>IF('ปฏิทิน'!DM5="","",CHOOSE(WEEKDAY('ปฏิทิน'!DM5,2),"จ.","อ.","พ.","พฤ.","ศ.","ส.","อา."))</f>
        <v/>
      </c>
      <c r="DN7" s="601">
        <f>IF('ปฏิทิน'!DN5="","",CHOOSE(WEEKDAY('ปฏิทิน'!DN5,2),"จ.","อ.","พ.","พฤ.","ศ.","ส.","อา."))</f>
        <v/>
      </c>
      <c r="DO7" s="601">
        <f>IF('ปฏิทิน'!DO5="","",CHOOSE(WEEKDAY('ปฏิทิน'!DO5,2),"จ.","อ.","พ.","พฤ.","ศ.","ส.","อา."))</f>
        <v/>
      </c>
      <c r="DP7" s="601">
        <f>IF('ปฏิทิน'!DP5="","",CHOOSE(WEEKDAY('ปฏิทิน'!DP5,2),"จ.","อ.","พ.","พฤ.","ศ.","ส.","อา."))</f>
        <v/>
      </c>
      <c r="DQ7" s="601">
        <f>IF('ปฏิทิน'!DQ5="","",CHOOSE(WEEKDAY('ปฏิทิน'!DQ5,2),"จ.","อ.","พ.","พฤ.","ศ.","ส.","อา."))</f>
        <v/>
      </c>
      <c r="DR7" s="601">
        <f>IF('ปฏิทิน'!DR5="","",CHOOSE(WEEKDAY('ปฏิทิน'!DR5,2),"จ.","อ.","พ.","พฤ.","ศ.","ส.","อา."))</f>
        <v/>
      </c>
      <c r="DS7" s="601">
        <f>IF('ปฏิทิน'!DS5="","",CHOOSE(WEEKDAY('ปฏิทิน'!DS5,2),"จ.","อ.","พ.","พฤ.","ศ.","ส.","อา."))</f>
        <v/>
      </c>
      <c r="DT7" s="601">
        <f>IF('ปฏิทิน'!DT5="","",CHOOSE(WEEKDAY('ปฏิทิน'!DT5,2),"จ.","อ.","พ.","พฤ.","ศ.","ส.","อา."))</f>
        <v/>
      </c>
      <c r="DU7" s="601">
        <f>IF('ปฏิทิน'!DU5="","",CHOOSE(WEEKDAY('ปฏิทิน'!DU5,2),"จ.","อ.","พ.","พฤ.","ศ.","ส.","อา."))</f>
        <v/>
      </c>
      <c r="DV7" s="601">
        <f>IF('ปฏิทิน'!DV5="","",CHOOSE(WEEKDAY('ปฏิทิน'!DV5,2),"จ.","อ.","พ.","พฤ.","ศ.","ส.","อา."))</f>
        <v/>
      </c>
      <c r="DW7" s="601">
        <f>IF('ปฏิทิน'!DW5="","",CHOOSE(WEEKDAY('ปฏิทิน'!DW5,2),"จ.","อ.","พ.","พฤ.","ศ.","ส.","อา."))</f>
        <v/>
      </c>
      <c r="DX7" s="601">
        <f>IF('ปฏิทิน'!DX5="","",CHOOSE(WEEKDAY('ปฏิทิน'!DX5,2),"จ.","อ.","พ.","พฤ.","ศ.","ส.","อา."))</f>
        <v/>
      </c>
      <c r="DY7" s="601">
        <f>IF('ปฏิทิน'!DY5="","",CHOOSE(WEEKDAY('ปฏิทิน'!DY5,2),"จ.","อ.","พ.","พฤ.","ศ.","ส.","อา."))</f>
        <v/>
      </c>
      <c r="DZ7" s="601">
        <f>IF('ปฏิทิน'!DZ5="","",CHOOSE(WEEKDAY('ปฏิทิน'!DZ5,2),"จ.","อ.","พ.","พฤ.","ศ.","ส.","อา."))</f>
        <v/>
      </c>
      <c r="EA7" s="601">
        <f>IF('ปฏิทิน'!EA5="","",CHOOSE(WEEKDAY('ปฏิทิน'!EA5,2),"จ.","อ.","พ.","พฤ.","ศ.","ส.","อา."))</f>
        <v/>
      </c>
      <c r="EB7" s="601">
        <f>IF('ปฏิทิน'!EB5="","",CHOOSE(WEEKDAY('ปฏิทิน'!EB5,2),"จ.","อ.","พ.","พฤ.","ศ.","ส.","อา."))</f>
        <v/>
      </c>
      <c r="EC7" s="601">
        <f>IF('ปฏิทิน'!EC5="","",CHOOSE(WEEKDAY('ปฏิทิน'!EC5,2),"จ.","อ.","พ.","พฤ.","ศ.","ส.","อา."))</f>
        <v/>
      </c>
      <c r="ED7" s="601">
        <f>IF('ปฏิทิน'!ED5="","",CHOOSE(WEEKDAY('ปฏิทิน'!ED5,2),"จ.","อ.","พ.","พฤ.","ศ.","ส.","อา."))</f>
        <v/>
      </c>
      <c r="EE7" s="601">
        <f>IF('ปฏิทิน'!EE5="","",CHOOSE(WEEKDAY('ปฏิทิน'!EE5,2),"จ.","อ.","พ.","พฤ.","ศ.","ส.","อา."))</f>
        <v/>
      </c>
      <c r="EF7" s="601">
        <f>IF('ปฏิทิน'!EF5="","",CHOOSE(WEEKDAY('ปฏิทิน'!EF5,2),"จ.","อ.","พ.","พฤ.","ศ.","ส.","อา."))</f>
        <v/>
      </c>
      <c r="EG7" s="602" t="n"/>
      <c r="EJ7" s="600">
        <f>IF('ปฏิทิน'!EJ5="","",CHOOSE(WEEKDAY('ปฏิทิน'!EJ5,2),"จ.","อ.","พ.","พฤ.","ศ.","ส.","อา."))</f>
        <v/>
      </c>
      <c r="EK7" s="601">
        <f>IF('ปฏิทิน'!EK5="","",CHOOSE(WEEKDAY('ปฏิทิน'!EK5,2),"จ.","อ.","พ.","พฤ.","ศ.","ส.","อา."))</f>
        <v/>
      </c>
      <c r="EL7" s="601">
        <f>IF('ปฏิทิน'!EL5="","",CHOOSE(WEEKDAY('ปฏิทิน'!EL5,2),"จ.","อ.","พ.","พฤ.","ศ.","ส.","อา."))</f>
        <v/>
      </c>
      <c r="EM7" s="601">
        <f>IF('ปฏิทิน'!EM5="","",CHOOSE(WEEKDAY('ปฏิทิน'!EM5,2),"จ.","อ.","พ.","พฤ.","ศ.","ส.","อา."))</f>
        <v/>
      </c>
      <c r="EN7" s="601">
        <f>IF('ปฏิทิน'!EN5="","",CHOOSE(WEEKDAY('ปฏิทิน'!EN5,2),"จ.","อ.","พ.","พฤ.","ศ.","ส.","อา."))</f>
        <v/>
      </c>
      <c r="EO7" s="601">
        <f>IF('ปฏิทิน'!EO5="","",CHOOSE(WEEKDAY('ปฏิทิน'!EO5,2),"จ.","อ.","พ.","พฤ.","ศ.","ส.","อา."))</f>
        <v/>
      </c>
      <c r="EP7" s="601">
        <f>IF('ปฏิทิน'!EP5="","",CHOOSE(WEEKDAY('ปฏิทิน'!EP5,2),"จ.","อ.","พ.","พฤ.","ศ.","ส.","อา."))</f>
        <v/>
      </c>
      <c r="EQ7" s="601">
        <f>IF('ปฏิทิน'!EQ5="","",CHOOSE(WEEKDAY('ปฏิทิน'!EQ5,2),"จ.","อ.","พ.","พฤ.","ศ.","ส.","อา."))</f>
        <v/>
      </c>
      <c r="ER7" s="601">
        <f>IF('ปฏิทิน'!ER5="","",CHOOSE(WEEKDAY('ปฏิทิน'!ER5,2),"จ.","อ.","พ.","พฤ.","ศ.","ส.","อา."))</f>
        <v/>
      </c>
      <c r="ES7" s="601">
        <f>IF('ปฏิทิน'!ES5="","",CHOOSE(WEEKDAY('ปฏิทิน'!ES5,2),"จ.","อ.","พ.","พฤ.","ศ.","ส.","อา."))</f>
        <v/>
      </c>
      <c r="ET7" s="601">
        <f>IF('ปฏิทิน'!ET5="","",CHOOSE(WEEKDAY('ปฏิทิน'!ET5,2),"จ.","อ.","พ.","พฤ.","ศ.","ส.","อา."))</f>
        <v/>
      </c>
      <c r="EU7" s="601">
        <f>IF('ปฏิทิน'!EU5="","",CHOOSE(WEEKDAY('ปฏิทิน'!EU5,2),"จ.","อ.","พ.","พฤ.","ศ.","ส.","อา."))</f>
        <v/>
      </c>
      <c r="EV7" s="601">
        <f>IF('ปฏิทิน'!EV5="","",CHOOSE(WEEKDAY('ปฏิทิน'!EV5,2),"จ.","อ.","พ.","พฤ.","ศ.","ส.","อา."))</f>
        <v/>
      </c>
      <c r="EW7" s="601">
        <f>IF('ปฏิทิน'!EW5="","",CHOOSE(WEEKDAY('ปฏิทิน'!EW5,2),"จ.","อ.","พ.","พฤ.","ศ.","ส.","อา."))</f>
        <v/>
      </c>
      <c r="EX7" s="601">
        <f>IF('ปฏิทิน'!EX5="","",CHOOSE(WEEKDAY('ปฏิทิน'!EX5,2),"จ.","อ.","พ.","พฤ.","ศ.","ส.","อา."))</f>
        <v/>
      </c>
      <c r="EY7" s="601">
        <f>IF('ปฏิทิน'!EY5="","",CHOOSE(WEEKDAY('ปฏิทิน'!EY5,2),"จ.","อ.","พ.","พฤ.","ศ.","ส.","อา."))</f>
        <v/>
      </c>
      <c r="EZ7" s="601">
        <f>IF('ปฏิทิน'!EZ5="","",CHOOSE(WEEKDAY('ปฏิทิน'!EZ5,2),"จ.","อ.","พ.","พฤ.","ศ.","ส.","อา."))</f>
        <v/>
      </c>
      <c r="FA7" s="601">
        <f>IF('ปฏิทิน'!FA5="","",CHOOSE(WEEKDAY('ปฏิทิน'!FA5,2),"จ.","อ.","พ.","พฤ.","ศ.","ส.","อา."))</f>
        <v/>
      </c>
      <c r="FB7" s="601">
        <f>IF('ปฏิทิน'!FB5="","",CHOOSE(WEEKDAY('ปฏิทิน'!FB5,2),"จ.","อ.","พ.","พฤ.","ศ.","ส.","อา."))</f>
        <v/>
      </c>
      <c r="FC7" s="601">
        <f>IF('ปฏิทิน'!FC5="","",CHOOSE(WEEKDAY('ปฏิทิน'!FC5,2),"จ.","อ.","พ.","พฤ.","ศ.","ส.","อา."))</f>
        <v/>
      </c>
      <c r="FD7" s="601">
        <f>IF('ปฏิทิน'!FD5="","",CHOOSE(WEEKDAY('ปฏิทิน'!FD5,2),"จ.","อ.","พ.","พฤ.","ศ.","ส.","อา."))</f>
        <v/>
      </c>
      <c r="FE7" s="601">
        <f>IF('ปฏิทิน'!FE5="","",CHOOSE(WEEKDAY('ปฏิทิน'!FE5,2),"จ.","อ.","พ.","พฤ.","ศ.","ส.","อา."))</f>
        <v/>
      </c>
      <c r="FF7" s="601">
        <f>IF('ปฏิทิน'!FF5="","",CHOOSE(WEEKDAY('ปฏิทิน'!FF5,2),"จ.","อ.","พ.","พฤ.","ศ.","ส.","อา."))</f>
        <v/>
      </c>
      <c r="FG7" s="601">
        <f>IF('ปฏิทิน'!FG5="","",CHOOSE(WEEKDAY('ปฏิทิน'!FG5,2),"จ.","อ.","พ.","พฤ.","ศ.","ส.","อา."))</f>
        <v/>
      </c>
      <c r="FH7" s="601">
        <f>IF('ปฏิทิน'!FH5="","",CHOOSE(WEEKDAY('ปฏิทิน'!FH5,2),"จ.","อ.","พ.","พฤ.","ศ.","ส.","อา."))</f>
        <v/>
      </c>
      <c r="FI7" s="601">
        <f>IF('ปฏิทิน'!FI5="","",CHOOSE(WEEKDAY('ปฏิทิน'!FI5,2),"จ.","อ.","พ.","พฤ.","ศ.","ส.","อา."))</f>
        <v/>
      </c>
      <c r="FJ7" s="601">
        <f>IF('ปฏิทิน'!FJ5="","",CHOOSE(WEEKDAY('ปฏิทิน'!FJ5,2),"จ.","อ.","พ.","พฤ.","ศ.","ส.","อา."))</f>
        <v/>
      </c>
      <c r="FK7" s="601">
        <f>IF('ปฏิทิน'!FK5="","",CHOOSE(WEEKDAY('ปฏิทิน'!FK5,2),"จ.","อ.","พ.","พฤ.","ศ.","ส.","อา."))</f>
        <v/>
      </c>
      <c r="FL7" s="601">
        <f>IF('ปฏิทิน'!FL5="","",CHOOSE(WEEKDAY('ปฏิทิน'!FL5,2),"จ.","อ.","พ.","พฤ.","ศ.","ส.","อา."))</f>
        <v/>
      </c>
      <c r="FM7" s="601">
        <f>IF('ปฏิทิน'!FM5="","",CHOOSE(WEEKDAY('ปฏิทิน'!FM5,2),"จ.","อ.","พ.","พฤ.","ศ.","ส.","อา."))</f>
        <v/>
      </c>
      <c r="FN7" s="601">
        <f>IF('ปฏิทิน'!FN5="","",CHOOSE(WEEKDAY('ปฏิทิน'!FN5,2),"จ.","อ.","พ.","พฤ.","ศ.","ส.","อา."))</f>
        <v/>
      </c>
      <c r="FO7" s="602" t="n"/>
    </row>
    <row r="8" ht="64" customHeight="1">
      <c r="D8" s="603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602" t="n"/>
      <c r="AL8" s="603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602" t="n"/>
      <c r="BT8" s="603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602" t="n"/>
      <c r="DB8" s="603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602" t="n"/>
      <c r="EJ8" s="603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602" t="n"/>
    </row>
    <row r="9">
      <c r="A9" s="218" t="n">
        <v>1</v>
      </c>
      <c r="B9" s="219">
        <f>'ข้อมูลนักเรียน'!T9</f>
        <v/>
      </c>
      <c r="C9" s="604">
        <f>IF(B9="","",IFERROR(COUNTIF(D9:FQ9,"✓")/(COUNTIF(D9:FQ9,"✓")+COUNTIF(D9:FQ9,"✗")),""))</f>
        <v/>
      </c>
      <c r="D9" s="60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06">
        <f>IF($B9="","",COUNTIF(D9:AH9,"✓"))</f>
        <v/>
      </c>
      <c r="AJ9" s="607">
        <f>IF($B9="","",COUNTIF(D9:AH9,"✗"))</f>
        <v/>
      </c>
      <c r="AK9" s="608">
        <f>IF($B9="","",IFERROR(ROUND(COUNTIF(D9:AH9,"✓")/(COUNTIF(D9:AH9,"✓")+COUNTIF(D9:AH9,"✗"))*100,0),""))</f>
        <v/>
      </c>
      <c r="AL9" s="60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06">
        <f>IF($B9="","",COUNTIF(AL9:BP9,"✓"))</f>
        <v/>
      </c>
      <c r="BR9" s="607">
        <f>IF($B9="","",COUNTIF(AL9:BP9,"✗"))</f>
        <v/>
      </c>
      <c r="BS9" s="608">
        <f>IF($B9="","",IFERROR(ROUND(COUNTIF(AL9:BP9,"✓")/(COUNTIF(AL9:BP9,"✓")+COUNTIF(AL9:BP9,"✗"))*100,0),""))</f>
        <v/>
      </c>
      <c r="BT9" s="60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06">
        <f>IF($B9="","",COUNTIF(BT9:CX9,"✓"))</f>
        <v/>
      </c>
      <c r="CZ9" s="607">
        <f>IF($B9="","",COUNTIF(BT9:CX9,"✗"))</f>
        <v/>
      </c>
      <c r="DA9" s="608">
        <f>IF($B9="","",IFERROR(ROUND(COUNTIF(BT9:CX9,"✓")/(COUNTIF(BT9:CX9,"✓")+COUNTIF(BT9:CX9,"✗"))*100,0),""))</f>
        <v/>
      </c>
      <c r="DB9" s="60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06">
        <f>IF($B9="","",COUNTIF(DB9:EF9,"✓"))</f>
        <v/>
      </c>
      <c r="EH9" s="607">
        <f>IF($B9="","",COUNTIF(DB9:EF9,"✗"))</f>
        <v/>
      </c>
      <c r="EI9" s="608">
        <f>IF($B9="","",IFERROR(ROUND(COUNTIF(DB9:EF9,"✓")/(COUNTIF(DB9:EF9,"✓")+COUNTIF(DB9:EF9,"✗"))*100,0),""))</f>
        <v/>
      </c>
      <c r="EJ9" s="60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06">
        <f>IF($B9="","",COUNTIF(EJ9:FN9,"✓"))</f>
        <v/>
      </c>
      <c r="FP9" s="607">
        <f>IF($B9="","",COUNTIF(EJ9:FN9,"✗"))</f>
        <v/>
      </c>
      <c r="FQ9" s="608">
        <f>IF($B9="","",IFERROR(ROUND(COUNTIF(EJ9:FN9,"✓")/(COUNTIF(EJ9:FN9,"✓")+COUNTIF(EJ9:FN9,"✗"))*100,0),""))</f>
        <v/>
      </c>
    </row>
    <row r="10">
      <c r="A10" s="226" t="n">
        <v>2</v>
      </c>
      <c r="B10" s="227">
        <f>'ข้อมูลนักเรียน'!T10</f>
        <v/>
      </c>
      <c r="C10" s="604">
        <f>IF(B10="","",IFERROR(COUNTIF(D10:FQ10,"✓")/(COUNTIF(D10:FQ10,"✓")+COUNTIF(D10:FQ10,"✗")),""))</f>
        <v/>
      </c>
      <c r="D10" s="60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06">
        <f>IF($B10="","",COUNTIF(D10:AH10,"✓"))</f>
        <v/>
      </c>
      <c r="AJ10" s="607">
        <f>IF($B10="","",COUNTIF(D10:AH10,"✗"))</f>
        <v/>
      </c>
      <c r="AK10" s="608">
        <f>IF($B10="","",IFERROR(ROUND(COUNTIF(D10:AH10,"✓")/(COUNTIF(D10:AH10,"✓")+COUNTIF(D10:AH10,"✗"))*100,0),""))</f>
        <v/>
      </c>
      <c r="AL10" s="60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06">
        <f>IF($B10="","",COUNTIF(AL10:BP10,"✓"))</f>
        <v/>
      </c>
      <c r="BR10" s="607">
        <f>IF($B10="","",COUNTIF(AL10:BP10,"✗"))</f>
        <v/>
      </c>
      <c r="BS10" s="608">
        <f>IF($B10="","",IFERROR(ROUND(COUNTIF(AL10:BP10,"✓")/(COUNTIF(AL10:BP10,"✓")+COUNTIF(AL10:BP10,"✗"))*100,0),""))</f>
        <v/>
      </c>
      <c r="BT10" s="60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06">
        <f>IF($B10="","",COUNTIF(BT10:CX10,"✓"))</f>
        <v/>
      </c>
      <c r="CZ10" s="607">
        <f>IF($B10="","",COUNTIF(BT10:CX10,"✗"))</f>
        <v/>
      </c>
      <c r="DA10" s="608">
        <f>IF($B10="","",IFERROR(ROUND(COUNTIF(BT10:CX10,"✓")/(COUNTIF(BT10:CX10,"✓")+COUNTIF(BT10:CX10,"✗"))*100,0),""))</f>
        <v/>
      </c>
      <c r="DB10" s="60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06">
        <f>IF($B10="","",COUNTIF(DB10:EF10,"✓"))</f>
        <v/>
      </c>
      <c r="EH10" s="607">
        <f>IF($B10="","",COUNTIF(DB10:EF10,"✗"))</f>
        <v/>
      </c>
      <c r="EI10" s="608">
        <f>IF($B10="","",IFERROR(ROUND(COUNTIF(DB10:EF10,"✓")/(COUNTIF(DB10:EF10,"✓")+COUNTIF(DB10:EF10,"✗"))*100,0),""))</f>
        <v/>
      </c>
      <c r="EJ10" s="60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06">
        <f>IF($B10="","",COUNTIF(EJ10:FN10,"✓"))</f>
        <v/>
      </c>
      <c r="FP10" s="607">
        <f>IF($B10="","",COUNTIF(EJ10:FN10,"✗"))</f>
        <v/>
      </c>
      <c r="FQ10" s="608">
        <f>IF($B10="","",IFERROR(ROUND(COUNTIF(EJ10:FN10,"✓")/(COUNTIF(EJ10:FN10,"✓")+COUNTIF(EJ10:FN10,"✗"))*100,0),""))</f>
        <v/>
      </c>
    </row>
    <row r="11">
      <c r="A11" s="218" t="n">
        <v>3</v>
      </c>
      <c r="B11" s="219">
        <f>'ข้อมูลนักเรียน'!T11</f>
        <v/>
      </c>
      <c r="C11" s="604">
        <f>IF(B11="","",IFERROR(COUNTIF(D11:FQ11,"✓")/(COUNTIF(D11:FQ11,"✓")+COUNTIF(D11:FQ11,"✗")),""))</f>
        <v/>
      </c>
      <c r="D11" s="60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06">
        <f>IF($B11="","",COUNTIF(D11:AH11,"✓"))</f>
        <v/>
      </c>
      <c r="AJ11" s="607">
        <f>IF($B11="","",COUNTIF(D11:AH11,"✗"))</f>
        <v/>
      </c>
      <c r="AK11" s="608">
        <f>IF($B11="","",IFERROR(ROUND(COUNTIF(D11:AH11,"✓")/(COUNTIF(D11:AH11,"✓")+COUNTIF(D11:AH11,"✗"))*100,0),""))</f>
        <v/>
      </c>
      <c r="AL11" s="60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06">
        <f>IF($B11="","",COUNTIF(AL11:BP11,"✓"))</f>
        <v/>
      </c>
      <c r="BR11" s="607">
        <f>IF($B11="","",COUNTIF(AL11:BP11,"✗"))</f>
        <v/>
      </c>
      <c r="BS11" s="608">
        <f>IF($B11="","",IFERROR(ROUND(COUNTIF(AL11:BP11,"✓")/(COUNTIF(AL11:BP11,"✓")+COUNTIF(AL11:BP11,"✗"))*100,0),""))</f>
        <v/>
      </c>
      <c r="BT11" s="60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06">
        <f>IF($B11="","",COUNTIF(BT11:CX11,"✓"))</f>
        <v/>
      </c>
      <c r="CZ11" s="607">
        <f>IF($B11="","",COUNTIF(BT11:CX11,"✗"))</f>
        <v/>
      </c>
      <c r="DA11" s="608">
        <f>IF($B11="","",IFERROR(ROUND(COUNTIF(BT11:CX11,"✓")/(COUNTIF(BT11:CX11,"✓")+COUNTIF(BT11:CX11,"✗"))*100,0),""))</f>
        <v/>
      </c>
      <c r="DB11" s="60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06">
        <f>IF($B11="","",COUNTIF(DB11:EF11,"✓"))</f>
        <v/>
      </c>
      <c r="EH11" s="607">
        <f>IF($B11="","",COUNTIF(DB11:EF11,"✗"))</f>
        <v/>
      </c>
      <c r="EI11" s="608">
        <f>IF($B11="","",IFERROR(ROUND(COUNTIF(DB11:EF11,"✓")/(COUNTIF(DB11:EF11,"✓")+COUNTIF(DB11:EF11,"✗"))*100,0),""))</f>
        <v/>
      </c>
      <c r="EJ11" s="60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06">
        <f>IF($B11="","",COUNTIF(EJ11:FN11,"✓"))</f>
        <v/>
      </c>
      <c r="FP11" s="607">
        <f>IF($B11="","",COUNTIF(EJ11:FN11,"✗"))</f>
        <v/>
      </c>
      <c r="FQ11" s="608">
        <f>IF($B11="","",IFERROR(ROUND(COUNTIF(EJ11:FN11,"✓")/(COUNTIF(EJ11:FN11,"✓")+COUNTIF(EJ11:FN11,"✗"))*100,0),""))</f>
        <v/>
      </c>
    </row>
    <row r="12">
      <c r="A12" s="226" t="n">
        <v>4</v>
      </c>
      <c r="B12" s="227">
        <f>'ข้อมูลนักเรียน'!T12</f>
        <v/>
      </c>
      <c r="C12" s="604">
        <f>IF(B12="","",IFERROR(COUNTIF(D12:FQ12,"✓")/(COUNTIF(D12:FQ12,"✓")+COUNTIF(D12:FQ12,"✗")),""))</f>
        <v/>
      </c>
      <c r="D12" s="60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06">
        <f>IF($B12="","",COUNTIF(D12:AH12,"✓"))</f>
        <v/>
      </c>
      <c r="AJ12" s="607">
        <f>IF($B12="","",COUNTIF(D12:AH12,"✗"))</f>
        <v/>
      </c>
      <c r="AK12" s="608">
        <f>IF($B12="","",IFERROR(ROUND(COUNTIF(D12:AH12,"✓")/(COUNTIF(D12:AH12,"✓")+COUNTIF(D12:AH12,"✗"))*100,0),""))</f>
        <v/>
      </c>
      <c r="AL12" s="60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06">
        <f>IF($B12="","",COUNTIF(AL12:BP12,"✓"))</f>
        <v/>
      </c>
      <c r="BR12" s="607">
        <f>IF($B12="","",COUNTIF(AL12:BP12,"✗"))</f>
        <v/>
      </c>
      <c r="BS12" s="608">
        <f>IF($B12="","",IFERROR(ROUND(COUNTIF(AL12:BP12,"✓")/(COUNTIF(AL12:BP12,"✓")+COUNTIF(AL12:BP12,"✗"))*100,0),""))</f>
        <v/>
      </c>
      <c r="BT12" s="60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06">
        <f>IF($B12="","",COUNTIF(BT12:CX12,"✓"))</f>
        <v/>
      </c>
      <c r="CZ12" s="607">
        <f>IF($B12="","",COUNTIF(BT12:CX12,"✗"))</f>
        <v/>
      </c>
      <c r="DA12" s="608">
        <f>IF($B12="","",IFERROR(ROUND(COUNTIF(BT12:CX12,"✓")/(COUNTIF(BT12:CX12,"✓")+COUNTIF(BT12:CX12,"✗"))*100,0),""))</f>
        <v/>
      </c>
      <c r="DB12" s="60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06">
        <f>IF($B12="","",COUNTIF(DB12:EF12,"✓"))</f>
        <v/>
      </c>
      <c r="EH12" s="607">
        <f>IF($B12="","",COUNTIF(DB12:EF12,"✗"))</f>
        <v/>
      </c>
      <c r="EI12" s="608">
        <f>IF($B12="","",IFERROR(ROUND(COUNTIF(DB12:EF12,"✓")/(COUNTIF(DB12:EF12,"✓")+COUNTIF(DB12:EF12,"✗"))*100,0),""))</f>
        <v/>
      </c>
      <c r="EJ12" s="60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06">
        <f>IF($B12="","",COUNTIF(EJ12:FN12,"✓"))</f>
        <v/>
      </c>
      <c r="FP12" s="607">
        <f>IF($B12="","",COUNTIF(EJ12:FN12,"✗"))</f>
        <v/>
      </c>
      <c r="FQ12" s="608">
        <f>IF($B12="","",IFERROR(ROUND(COUNTIF(EJ12:FN12,"✓")/(COUNTIF(EJ12:FN12,"✓")+COUNTIF(EJ12:FN12,"✗"))*100,0),""))</f>
        <v/>
      </c>
    </row>
    <row r="13">
      <c r="A13" s="218" t="n">
        <v>5</v>
      </c>
      <c r="B13" s="219">
        <f>'ข้อมูลนักเรียน'!T13</f>
        <v/>
      </c>
      <c r="C13" s="604">
        <f>IF(B13="","",IFERROR(COUNTIF(D13:FQ13,"✓")/(COUNTIF(D13:FQ13,"✓")+COUNTIF(D13:FQ13,"✗")),""))</f>
        <v/>
      </c>
      <c r="D13" s="60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06">
        <f>IF($B13="","",COUNTIF(D13:AH13,"✓"))</f>
        <v/>
      </c>
      <c r="AJ13" s="607">
        <f>IF($B13="","",COUNTIF(D13:AH13,"✗"))</f>
        <v/>
      </c>
      <c r="AK13" s="608">
        <f>IF($B13="","",IFERROR(ROUND(COUNTIF(D13:AH13,"✓")/(COUNTIF(D13:AH13,"✓")+COUNTIF(D13:AH13,"✗"))*100,0),""))</f>
        <v/>
      </c>
      <c r="AL13" s="60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06">
        <f>IF($B13="","",COUNTIF(AL13:BP13,"✓"))</f>
        <v/>
      </c>
      <c r="BR13" s="607">
        <f>IF($B13="","",COUNTIF(AL13:BP13,"✗"))</f>
        <v/>
      </c>
      <c r="BS13" s="608">
        <f>IF($B13="","",IFERROR(ROUND(COUNTIF(AL13:BP13,"✓")/(COUNTIF(AL13:BP13,"✓")+COUNTIF(AL13:BP13,"✗"))*100,0),""))</f>
        <v/>
      </c>
      <c r="BT13" s="60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06">
        <f>IF($B13="","",COUNTIF(BT13:CX13,"✓"))</f>
        <v/>
      </c>
      <c r="CZ13" s="607">
        <f>IF($B13="","",COUNTIF(BT13:CX13,"✗"))</f>
        <v/>
      </c>
      <c r="DA13" s="608">
        <f>IF($B13="","",IFERROR(ROUND(COUNTIF(BT13:CX13,"✓")/(COUNTIF(BT13:CX13,"✓")+COUNTIF(BT13:CX13,"✗"))*100,0),""))</f>
        <v/>
      </c>
      <c r="DB13" s="60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06">
        <f>IF($B13="","",COUNTIF(DB13:EF13,"✓"))</f>
        <v/>
      </c>
      <c r="EH13" s="607">
        <f>IF($B13="","",COUNTIF(DB13:EF13,"✗"))</f>
        <v/>
      </c>
      <c r="EI13" s="608">
        <f>IF($B13="","",IFERROR(ROUND(COUNTIF(DB13:EF13,"✓")/(COUNTIF(DB13:EF13,"✓")+COUNTIF(DB13:EF13,"✗"))*100,0),""))</f>
        <v/>
      </c>
      <c r="EJ13" s="60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06">
        <f>IF($B13="","",COUNTIF(EJ13:FN13,"✓"))</f>
        <v/>
      </c>
      <c r="FP13" s="607">
        <f>IF($B13="","",COUNTIF(EJ13:FN13,"✗"))</f>
        <v/>
      </c>
      <c r="FQ13" s="608">
        <f>IF($B13="","",IFERROR(ROUND(COUNTIF(EJ13:FN13,"✓")/(COUNTIF(EJ13:FN13,"✓")+COUNTIF(EJ13:FN13,"✗"))*100,0),""))</f>
        <v/>
      </c>
    </row>
    <row r="14">
      <c r="A14" s="609" t="inlineStr">
        <is>
          <t>ออกกำลังกาย (คน)</t>
        </is>
      </c>
      <c r="B14" s="184" t="n"/>
      <c r="C14" s="184" t="n"/>
      <c r="D14" s="610">
        <f>IF(D$4&lt;&gt;1,"",COUNTIF(D9:D13,"✓"))</f>
        <v/>
      </c>
      <c r="E14" s="611">
        <f>IF(E$4&lt;&gt;1,"",COUNTIF(E9:E13,"✓"))</f>
        <v/>
      </c>
      <c r="F14" s="611">
        <f>IF(F$4&lt;&gt;1,"",COUNTIF(F9:F13,"✓"))</f>
        <v/>
      </c>
      <c r="G14" s="611">
        <f>IF(G$4&lt;&gt;1,"",COUNTIF(G9:G13,"✓"))</f>
        <v/>
      </c>
      <c r="H14" s="611">
        <f>IF(H$4&lt;&gt;1,"",COUNTIF(H9:H13,"✓"))</f>
        <v/>
      </c>
      <c r="I14" s="611">
        <f>IF(I$4&lt;&gt;1,"",COUNTIF(I9:I13,"✓"))</f>
        <v/>
      </c>
      <c r="J14" s="611">
        <f>IF(J$4&lt;&gt;1,"",COUNTIF(J9:J13,"✓"))</f>
        <v/>
      </c>
      <c r="K14" s="611">
        <f>IF(K$4&lt;&gt;1,"",COUNTIF(K9:K13,"✓"))</f>
        <v/>
      </c>
      <c r="L14" s="611">
        <f>IF(L$4&lt;&gt;1,"",COUNTIF(L9:L13,"✓"))</f>
        <v/>
      </c>
      <c r="M14" s="611">
        <f>IF(M$4&lt;&gt;1,"",COUNTIF(M9:M13,"✓"))</f>
        <v/>
      </c>
      <c r="N14" s="611">
        <f>IF(N$4&lt;&gt;1,"",COUNTIF(N9:N13,"✓"))</f>
        <v/>
      </c>
      <c r="O14" s="611">
        <f>IF(O$4&lt;&gt;1,"",COUNTIF(O9:O13,"✓"))</f>
        <v/>
      </c>
      <c r="P14" s="611">
        <f>IF(P$4&lt;&gt;1,"",COUNTIF(P9:P13,"✓"))</f>
        <v/>
      </c>
      <c r="Q14" s="611">
        <f>IF(Q$4&lt;&gt;1,"",COUNTIF(Q9:Q13,"✓"))</f>
        <v/>
      </c>
      <c r="R14" s="611">
        <f>IF(R$4&lt;&gt;1,"",COUNTIF(R9:R13,"✓"))</f>
        <v/>
      </c>
      <c r="S14" s="611">
        <f>IF(S$4&lt;&gt;1,"",COUNTIF(S9:S13,"✓"))</f>
        <v/>
      </c>
      <c r="T14" s="611">
        <f>IF(T$4&lt;&gt;1,"",COUNTIF(T9:T13,"✓"))</f>
        <v/>
      </c>
      <c r="U14" s="611">
        <f>IF(U$4&lt;&gt;1,"",COUNTIF(U9:U13,"✓"))</f>
        <v/>
      </c>
      <c r="V14" s="611">
        <f>IF(V$4&lt;&gt;1,"",COUNTIF(V9:V13,"✓"))</f>
        <v/>
      </c>
      <c r="W14" s="611">
        <f>IF(W$4&lt;&gt;1,"",COUNTIF(W9:W13,"✓"))</f>
        <v/>
      </c>
      <c r="X14" s="611">
        <f>IF(X$4&lt;&gt;1,"",COUNTIF(X9:X13,"✓"))</f>
        <v/>
      </c>
      <c r="Y14" s="611">
        <f>IF(Y$4&lt;&gt;1,"",COUNTIF(Y9:Y13,"✓"))</f>
        <v/>
      </c>
      <c r="Z14" s="611">
        <f>IF(Z$4&lt;&gt;1,"",COUNTIF(Z9:Z13,"✓"))</f>
        <v/>
      </c>
      <c r="AA14" s="611">
        <f>IF(AA$4&lt;&gt;1,"",COUNTIF(AA9:AA13,"✓"))</f>
        <v/>
      </c>
      <c r="AB14" s="611">
        <f>IF(AB$4&lt;&gt;1,"",COUNTIF(AB9:AB13,"✓"))</f>
        <v/>
      </c>
      <c r="AC14" s="611">
        <f>IF(AC$4&lt;&gt;1,"",COUNTIF(AC9:AC13,"✓"))</f>
        <v/>
      </c>
      <c r="AD14" s="611">
        <f>IF(AD$4&lt;&gt;1,"",COUNTIF(AD9:AD13,"✓"))</f>
        <v/>
      </c>
      <c r="AE14" s="611">
        <f>IF(AE$4&lt;&gt;1,"",COUNTIF(AE9:AE13,"✓"))</f>
        <v/>
      </c>
      <c r="AF14" s="611">
        <f>IF(AF$4&lt;&gt;1,"",COUNTIF(AF9:AF13,"✓"))</f>
        <v/>
      </c>
      <c r="AG14" s="611">
        <f>IF(AG$4&lt;&gt;1,"",COUNTIF(AG9:AG13,"✓"))</f>
        <v/>
      </c>
      <c r="AH14" s="611">
        <f>IF(AH$4&lt;&gt;1,"",COUNTIF(AH9:AH13,"✓"))</f>
        <v/>
      </c>
      <c r="AI14" s="612">
        <f>SUM(AI9:AI13)</f>
        <v/>
      </c>
      <c r="AJ14" s="613">
        <f>SUM(AJ9:AJ13)</f>
        <v/>
      </c>
      <c r="AK14" s="614">
        <f>IFERROR(AVERAGE(AK9:AK13),"")</f>
        <v/>
      </c>
      <c r="AL14" s="610">
        <f>IF(AL$4&lt;&gt;1,"",COUNTIF(AL9:AL13,"✓"))</f>
        <v/>
      </c>
      <c r="AM14" s="611">
        <f>IF(AM$4&lt;&gt;1,"",COUNTIF(AM9:AM13,"✓"))</f>
        <v/>
      </c>
      <c r="AN14" s="611">
        <f>IF(AN$4&lt;&gt;1,"",COUNTIF(AN9:AN13,"✓"))</f>
        <v/>
      </c>
      <c r="AO14" s="611">
        <f>IF(AO$4&lt;&gt;1,"",COUNTIF(AO9:AO13,"✓"))</f>
        <v/>
      </c>
      <c r="AP14" s="611">
        <f>IF(AP$4&lt;&gt;1,"",COUNTIF(AP9:AP13,"✓"))</f>
        <v/>
      </c>
      <c r="AQ14" s="611">
        <f>IF(AQ$4&lt;&gt;1,"",COUNTIF(AQ9:AQ13,"✓"))</f>
        <v/>
      </c>
      <c r="AR14" s="611">
        <f>IF(AR$4&lt;&gt;1,"",COUNTIF(AR9:AR13,"✓"))</f>
        <v/>
      </c>
      <c r="AS14" s="611">
        <f>IF(AS$4&lt;&gt;1,"",COUNTIF(AS9:AS13,"✓"))</f>
        <v/>
      </c>
      <c r="AT14" s="611">
        <f>IF(AT$4&lt;&gt;1,"",COUNTIF(AT9:AT13,"✓"))</f>
        <v/>
      </c>
      <c r="AU14" s="611">
        <f>IF(AU$4&lt;&gt;1,"",COUNTIF(AU9:AU13,"✓"))</f>
        <v/>
      </c>
      <c r="AV14" s="611">
        <f>IF(AV$4&lt;&gt;1,"",COUNTIF(AV9:AV13,"✓"))</f>
        <v/>
      </c>
      <c r="AW14" s="611">
        <f>IF(AW$4&lt;&gt;1,"",COUNTIF(AW9:AW13,"✓"))</f>
        <v/>
      </c>
      <c r="AX14" s="611">
        <f>IF(AX$4&lt;&gt;1,"",COUNTIF(AX9:AX13,"✓"))</f>
        <v/>
      </c>
      <c r="AY14" s="611">
        <f>IF(AY$4&lt;&gt;1,"",COUNTIF(AY9:AY13,"✓"))</f>
        <v/>
      </c>
      <c r="AZ14" s="611">
        <f>IF(AZ$4&lt;&gt;1,"",COUNTIF(AZ9:AZ13,"✓"))</f>
        <v/>
      </c>
      <c r="BA14" s="611">
        <f>IF(BA$4&lt;&gt;1,"",COUNTIF(BA9:BA13,"✓"))</f>
        <v/>
      </c>
      <c r="BB14" s="611">
        <f>IF(BB$4&lt;&gt;1,"",COUNTIF(BB9:BB13,"✓"))</f>
        <v/>
      </c>
      <c r="BC14" s="611">
        <f>IF(BC$4&lt;&gt;1,"",COUNTIF(BC9:BC13,"✓"))</f>
        <v/>
      </c>
      <c r="BD14" s="611">
        <f>IF(BD$4&lt;&gt;1,"",COUNTIF(BD9:BD13,"✓"))</f>
        <v/>
      </c>
      <c r="BE14" s="611">
        <f>IF(BE$4&lt;&gt;1,"",COUNTIF(BE9:BE13,"✓"))</f>
        <v/>
      </c>
      <c r="BF14" s="611">
        <f>IF(BF$4&lt;&gt;1,"",COUNTIF(BF9:BF13,"✓"))</f>
        <v/>
      </c>
      <c r="BG14" s="611">
        <f>IF(BG$4&lt;&gt;1,"",COUNTIF(BG9:BG13,"✓"))</f>
        <v/>
      </c>
      <c r="BH14" s="611">
        <f>IF(BH$4&lt;&gt;1,"",COUNTIF(BH9:BH13,"✓"))</f>
        <v/>
      </c>
      <c r="BI14" s="611">
        <f>IF(BI$4&lt;&gt;1,"",COUNTIF(BI9:BI13,"✓"))</f>
        <v/>
      </c>
      <c r="BJ14" s="611">
        <f>IF(BJ$4&lt;&gt;1,"",COUNTIF(BJ9:BJ13,"✓"))</f>
        <v/>
      </c>
      <c r="BK14" s="611">
        <f>IF(BK$4&lt;&gt;1,"",COUNTIF(BK9:BK13,"✓"))</f>
        <v/>
      </c>
      <c r="BL14" s="611">
        <f>IF(BL$4&lt;&gt;1,"",COUNTIF(BL9:BL13,"✓"))</f>
        <v/>
      </c>
      <c r="BM14" s="611">
        <f>IF(BM$4&lt;&gt;1,"",COUNTIF(BM9:BM13,"✓"))</f>
        <v/>
      </c>
      <c r="BN14" s="611">
        <f>IF(BN$4&lt;&gt;1,"",COUNTIF(BN9:BN13,"✓"))</f>
        <v/>
      </c>
      <c r="BO14" s="611">
        <f>IF(BO$4&lt;&gt;1,"",COUNTIF(BO9:BO13,"✓"))</f>
        <v/>
      </c>
      <c r="BP14" s="611">
        <f>IF(BP$4&lt;&gt;1,"",COUNTIF(BP9:BP13,"✓"))</f>
        <v/>
      </c>
      <c r="BQ14" s="612">
        <f>SUM(BQ9:BQ13)</f>
        <v/>
      </c>
      <c r="BR14" s="613">
        <f>SUM(BR9:BR13)</f>
        <v/>
      </c>
      <c r="BS14" s="614">
        <f>IFERROR(AVERAGE(BS9:BS13),"")</f>
        <v/>
      </c>
      <c r="BT14" s="610">
        <f>IF(BT$4&lt;&gt;1,"",COUNTIF(BT9:BT13,"✓"))</f>
        <v/>
      </c>
      <c r="BU14" s="611">
        <f>IF(BU$4&lt;&gt;1,"",COUNTIF(BU9:BU13,"✓"))</f>
        <v/>
      </c>
      <c r="BV14" s="611">
        <f>IF(BV$4&lt;&gt;1,"",COUNTIF(BV9:BV13,"✓"))</f>
        <v/>
      </c>
      <c r="BW14" s="611">
        <f>IF(BW$4&lt;&gt;1,"",COUNTIF(BW9:BW13,"✓"))</f>
        <v/>
      </c>
      <c r="BX14" s="611">
        <f>IF(BX$4&lt;&gt;1,"",COUNTIF(BX9:BX13,"✓"))</f>
        <v/>
      </c>
      <c r="BY14" s="611">
        <f>IF(BY$4&lt;&gt;1,"",COUNTIF(BY9:BY13,"✓"))</f>
        <v/>
      </c>
      <c r="BZ14" s="611">
        <f>IF(BZ$4&lt;&gt;1,"",COUNTIF(BZ9:BZ13,"✓"))</f>
        <v/>
      </c>
      <c r="CA14" s="611">
        <f>IF(CA$4&lt;&gt;1,"",COUNTIF(CA9:CA13,"✓"))</f>
        <v/>
      </c>
      <c r="CB14" s="611">
        <f>IF(CB$4&lt;&gt;1,"",COUNTIF(CB9:CB13,"✓"))</f>
        <v/>
      </c>
      <c r="CC14" s="611">
        <f>IF(CC$4&lt;&gt;1,"",COUNTIF(CC9:CC13,"✓"))</f>
        <v/>
      </c>
      <c r="CD14" s="611">
        <f>IF(CD$4&lt;&gt;1,"",COUNTIF(CD9:CD13,"✓"))</f>
        <v/>
      </c>
      <c r="CE14" s="611">
        <f>IF(CE$4&lt;&gt;1,"",COUNTIF(CE9:CE13,"✓"))</f>
        <v/>
      </c>
      <c r="CF14" s="611">
        <f>IF(CF$4&lt;&gt;1,"",COUNTIF(CF9:CF13,"✓"))</f>
        <v/>
      </c>
      <c r="CG14" s="611">
        <f>IF(CG$4&lt;&gt;1,"",COUNTIF(CG9:CG13,"✓"))</f>
        <v/>
      </c>
      <c r="CH14" s="611">
        <f>IF(CH$4&lt;&gt;1,"",COUNTIF(CH9:CH13,"✓"))</f>
        <v/>
      </c>
      <c r="CI14" s="611">
        <f>IF(CI$4&lt;&gt;1,"",COUNTIF(CI9:CI13,"✓"))</f>
        <v/>
      </c>
      <c r="CJ14" s="611">
        <f>IF(CJ$4&lt;&gt;1,"",COUNTIF(CJ9:CJ13,"✓"))</f>
        <v/>
      </c>
      <c r="CK14" s="611">
        <f>IF(CK$4&lt;&gt;1,"",COUNTIF(CK9:CK13,"✓"))</f>
        <v/>
      </c>
      <c r="CL14" s="611">
        <f>IF(CL$4&lt;&gt;1,"",COUNTIF(CL9:CL13,"✓"))</f>
        <v/>
      </c>
      <c r="CM14" s="611">
        <f>IF(CM$4&lt;&gt;1,"",COUNTIF(CM9:CM13,"✓"))</f>
        <v/>
      </c>
      <c r="CN14" s="611">
        <f>IF(CN$4&lt;&gt;1,"",COUNTIF(CN9:CN13,"✓"))</f>
        <v/>
      </c>
      <c r="CO14" s="611">
        <f>IF(CO$4&lt;&gt;1,"",COUNTIF(CO9:CO13,"✓"))</f>
        <v/>
      </c>
      <c r="CP14" s="611">
        <f>IF(CP$4&lt;&gt;1,"",COUNTIF(CP9:CP13,"✓"))</f>
        <v/>
      </c>
      <c r="CQ14" s="611">
        <f>IF(CQ$4&lt;&gt;1,"",COUNTIF(CQ9:CQ13,"✓"))</f>
        <v/>
      </c>
      <c r="CR14" s="611">
        <f>IF(CR$4&lt;&gt;1,"",COUNTIF(CR9:CR13,"✓"))</f>
        <v/>
      </c>
      <c r="CS14" s="611">
        <f>IF(CS$4&lt;&gt;1,"",COUNTIF(CS9:CS13,"✓"))</f>
        <v/>
      </c>
      <c r="CT14" s="611">
        <f>IF(CT$4&lt;&gt;1,"",COUNTIF(CT9:CT13,"✓"))</f>
        <v/>
      </c>
      <c r="CU14" s="611">
        <f>IF(CU$4&lt;&gt;1,"",COUNTIF(CU9:CU13,"✓"))</f>
        <v/>
      </c>
      <c r="CV14" s="611">
        <f>IF(CV$4&lt;&gt;1,"",COUNTIF(CV9:CV13,"✓"))</f>
        <v/>
      </c>
      <c r="CW14" s="611">
        <f>IF(CW$4&lt;&gt;1,"",COUNTIF(CW9:CW13,"✓"))</f>
        <v/>
      </c>
      <c r="CX14" s="611">
        <f>IF(CX$4&lt;&gt;1,"",COUNTIF(CX9:CX13,"✓"))</f>
        <v/>
      </c>
      <c r="CY14" s="612">
        <f>SUM(CY9:CY13)</f>
        <v/>
      </c>
      <c r="CZ14" s="613">
        <f>SUM(CZ9:CZ13)</f>
        <v/>
      </c>
      <c r="DA14" s="614">
        <f>IFERROR(AVERAGE(DA9:DA13),"")</f>
        <v/>
      </c>
      <c r="DB14" s="610">
        <f>IF(DB$4&lt;&gt;1,"",COUNTIF(DB9:DB13,"✓"))</f>
        <v/>
      </c>
      <c r="DC14" s="611">
        <f>IF(DC$4&lt;&gt;1,"",COUNTIF(DC9:DC13,"✓"))</f>
        <v/>
      </c>
      <c r="DD14" s="611">
        <f>IF(DD$4&lt;&gt;1,"",COUNTIF(DD9:DD13,"✓"))</f>
        <v/>
      </c>
      <c r="DE14" s="611">
        <f>IF(DE$4&lt;&gt;1,"",COUNTIF(DE9:DE13,"✓"))</f>
        <v/>
      </c>
      <c r="DF14" s="611">
        <f>IF(DF$4&lt;&gt;1,"",COUNTIF(DF9:DF13,"✓"))</f>
        <v/>
      </c>
      <c r="DG14" s="611">
        <f>IF(DG$4&lt;&gt;1,"",COUNTIF(DG9:DG13,"✓"))</f>
        <v/>
      </c>
      <c r="DH14" s="611">
        <f>IF(DH$4&lt;&gt;1,"",COUNTIF(DH9:DH13,"✓"))</f>
        <v/>
      </c>
      <c r="DI14" s="611">
        <f>IF(DI$4&lt;&gt;1,"",COUNTIF(DI9:DI13,"✓"))</f>
        <v/>
      </c>
      <c r="DJ14" s="611">
        <f>IF(DJ$4&lt;&gt;1,"",COUNTIF(DJ9:DJ13,"✓"))</f>
        <v/>
      </c>
      <c r="DK14" s="611">
        <f>IF(DK$4&lt;&gt;1,"",COUNTIF(DK9:DK13,"✓"))</f>
        <v/>
      </c>
      <c r="DL14" s="611">
        <f>IF(DL$4&lt;&gt;1,"",COUNTIF(DL9:DL13,"✓"))</f>
        <v/>
      </c>
      <c r="DM14" s="611">
        <f>IF(DM$4&lt;&gt;1,"",COUNTIF(DM9:DM13,"✓"))</f>
        <v/>
      </c>
      <c r="DN14" s="611">
        <f>IF(DN$4&lt;&gt;1,"",COUNTIF(DN9:DN13,"✓"))</f>
        <v/>
      </c>
      <c r="DO14" s="611">
        <f>IF(DO$4&lt;&gt;1,"",COUNTIF(DO9:DO13,"✓"))</f>
        <v/>
      </c>
      <c r="DP14" s="611">
        <f>IF(DP$4&lt;&gt;1,"",COUNTIF(DP9:DP13,"✓"))</f>
        <v/>
      </c>
      <c r="DQ14" s="611">
        <f>IF(DQ$4&lt;&gt;1,"",COUNTIF(DQ9:DQ13,"✓"))</f>
        <v/>
      </c>
      <c r="DR14" s="611">
        <f>IF(DR$4&lt;&gt;1,"",COUNTIF(DR9:DR13,"✓"))</f>
        <v/>
      </c>
      <c r="DS14" s="611">
        <f>IF(DS$4&lt;&gt;1,"",COUNTIF(DS9:DS13,"✓"))</f>
        <v/>
      </c>
      <c r="DT14" s="611">
        <f>IF(DT$4&lt;&gt;1,"",COUNTIF(DT9:DT13,"✓"))</f>
        <v/>
      </c>
      <c r="DU14" s="611">
        <f>IF(DU$4&lt;&gt;1,"",COUNTIF(DU9:DU13,"✓"))</f>
        <v/>
      </c>
      <c r="DV14" s="611">
        <f>IF(DV$4&lt;&gt;1,"",COUNTIF(DV9:DV13,"✓"))</f>
        <v/>
      </c>
      <c r="DW14" s="611">
        <f>IF(DW$4&lt;&gt;1,"",COUNTIF(DW9:DW13,"✓"))</f>
        <v/>
      </c>
      <c r="DX14" s="611">
        <f>IF(DX$4&lt;&gt;1,"",COUNTIF(DX9:DX13,"✓"))</f>
        <v/>
      </c>
      <c r="DY14" s="611">
        <f>IF(DY$4&lt;&gt;1,"",COUNTIF(DY9:DY13,"✓"))</f>
        <v/>
      </c>
      <c r="DZ14" s="611">
        <f>IF(DZ$4&lt;&gt;1,"",COUNTIF(DZ9:DZ13,"✓"))</f>
        <v/>
      </c>
      <c r="EA14" s="611">
        <f>IF(EA$4&lt;&gt;1,"",COUNTIF(EA9:EA13,"✓"))</f>
        <v/>
      </c>
      <c r="EB14" s="611">
        <f>IF(EB$4&lt;&gt;1,"",COUNTIF(EB9:EB13,"✓"))</f>
        <v/>
      </c>
      <c r="EC14" s="611">
        <f>IF(EC$4&lt;&gt;1,"",COUNTIF(EC9:EC13,"✓"))</f>
        <v/>
      </c>
      <c r="ED14" s="611">
        <f>IF(ED$4&lt;&gt;1,"",COUNTIF(ED9:ED13,"✓"))</f>
        <v/>
      </c>
      <c r="EE14" s="611">
        <f>IF(EE$4&lt;&gt;1,"",COUNTIF(EE9:EE13,"✓"))</f>
        <v/>
      </c>
      <c r="EF14" s="611">
        <f>IF(EF$4&lt;&gt;1,"",COUNTIF(EF9:EF13,"✓"))</f>
        <v/>
      </c>
      <c r="EG14" s="612">
        <f>SUM(EG9:EG13)</f>
        <v/>
      </c>
      <c r="EH14" s="613">
        <f>SUM(EH9:EH13)</f>
        <v/>
      </c>
      <c r="EI14" s="614">
        <f>IFERROR(AVERAGE(EI9:EI13),"")</f>
        <v/>
      </c>
      <c r="EJ14" s="610">
        <f>IF(EJ$4&lt;&gt;1,"",COUNTIF(EJ9:EJ13,"✓"))</f>
        <v/>
      </c>
      <c r="EK14" s="611">
        <f>IF(EK$4&lt;&gt;1,"",COUNTIF(EK9:EK13,"✓"))</f>
        <v/>
      </c>
      <c r="EL14" s="611">
        <f>IF(EL$4&lt;&gt;1,"",COUNTIF(EL9:EL13,"✓"))</f>
        <v/>
      </c>
      <c r="EM14" s="611">
        <f>IF(EM$4&lt;&gt;1,"",COUNTIF(EM9:EM13,"✓"))</f>
        <v/>
      </c>
      <c r="EN14" s="611">
        <f>IF(EN$4&lt;&gt;1,"",COUNTIF(EN9:EN13,"✓"))</f>
        <v/>
      </c>
      <c r="EO14" s="611">
        <f>IF(EO$4&lt;&gt;1,"",COUNTIF(EO9:EO13,"✓"))</f>
        <v/>
      </c>
      <c r="EP14" s="611">
        <f>IF(EP$4&lt;&gt;1,"",COUNTIF(EP9:EP13,"✓"))</f>
        <v/>
      </c>
      <c r="EQ14" s="611">
        <f>IF(EQ$4&lt;&gt;1,"",COUNTIF(EQ9:EQ13,"✓"))</f>
        <v/>
      </c>
      <c r="ER14" s="611">
        <f>IF(ER$4&lt;&gt;1,"",COUNTIF(ER9:ER13,"✓"))</f>
        <v/>
      </c>
      <c r="ES14" s="611">
        <f>IF(ES$4&lt;&gt;1,"",COUNTIF(ES9:ES13,"✓"))</f>
        <v/>
      </c>
      <c r="ET14" s="611">
        <f>IF(ET$4&lt;&gt;1,"",COUNTIF(ET9:ET13,"✓"))</f>
        <v/>
      </c>
      <c r="EU14" s="611">
        <f>IF(EU$4&lt;&gt;1,"",COUNTIF(EU9:EU13,"✓"))</f>
        <v/>
      </c>
      <c r="EV14" s="611">
        <f>IF(EV$4&lt;&gt;1,"",COUNTIF(EV9:EV13,"✓"))</f>
        <v/>
      </c>
      <c r="EW14" s="611">
        <f>IF(EW$4&lt;&gt;1,"",COUNTIF(EW9:EW13,"✓"))</f>
        <v/>
      </c>
      <c r="EX14" s="611">
        <f>IF(EX$4&lt;&gt;1,"",COUNTIF(EX9:EX13,"✓"))</f>
        <v/>
      </c>
      <c r="EY14" s="611">
        <f>IF(EY$4&lt;&gt;1,"",COUNTIF(EY9:EY13,"✓"))</f>
        <v/>
      </c>
      <c r="EZ14" s="611">
        <f>IF(EZ$4&lt;&gt;1,"",COUNTIF(EZ9:EZ13,"✓"))</f>
        <v/>
      </c>
      <c r="FA14" s="611">
        <f>IF(FA$4&lt;&gt;1,"",COUNTIF(FA9:FA13,"✓"))</f>
        <v/>
      </c>
      <c r="FB14" s="611">
        <f>IF(FB$4&lt;&gt;1,"",COUNTIF(FB9:FB13,"✓"))</f>
        <v/>
      </c>
      <c r="FC14" s="611">
        <f>IF(FC$4&lt;&gt;1,"",COUNTIF(FC9:FC13,"✓"))</f>
        <v/>
      </c>
      <c r="FD14" s="611">
        <f>IF(FD$4&lt;&gt;1,"",COUNTIF(FD9:FD13,"✓"))</f>
        <v/>
      </c>
      <c r="FE14" s="611">
        <f>IF(FE$4&lt;&gt;1,"",COUNTIF(FE9:FE13,"✓"))</f>
        <v/>
      </c>
      <c r="FF14" s="611">
        <f>IF(FF$4&lt;&gt;1,"",COUNTIF(FF9:FF13,"✓"))</f>
        <v/>
      </c>
      <c r="FG14" s="611">
        <f>IF(FG$4&lt;&gt;1,"",COUNTIF(FG9:FG13,"✓"))</f>
        <v/>
      </c>
      <c r="FH14" s="611">
        <f>IF(FH$4&lt;&gt;1,"",COUNTIF(FH9:FH13,"✓"))</f>
        <v/>
      </c>
      <c r="FI14" s="611">
        <f>IF(FI$4&lt;&gt;1,"",COUNTIF(FI9:FI13,"✓"))</f>
        <v/>
      </c>
      <c r="FJ14" s="611">
        <f>IF(FJ$4&lt;&gt;1,"",COUNTIF(FJ9:FJ13,"✓"))</f>
        <v/>
      </c>
      <c r="FK14" s="611">
        <f>IF(FK$4&lt;&gt;1,"",COUNTIF(FK9:FK13,"✓"))</f>
        <v/>
      </c>
      <c r="FL14" s="611">
        <f>IF(FL$4&lt;&gt;1,"",COUNTIF(FL9:FL13,"✓"))</f>
        <v/>
      </c>
      <c r="FM14" s="611">
        <f>IF(FM$4&lt;&gt;1,"",COUNTIF(FM9:FM13,"✓"))</f>
        <v/>
      </c>
      <c r="FN14" s="611">
        <f>IF(FN$4&lt;&gt;1,"",COUNTIF(FN9:FN13,"✓"))</f>
        <v/>
      </c>
      <c r="FO14" s="612">
        <f>SUM(FO9:FO13)</f>
        <v/>
      </c>
      <c r="FP14" s="613">
        <f>SUM(FP9:FP13)</f>
        <v/>
      </c>
      <c r="FQ14" s="614">
        <f>IFERROR(AVERAGE(FQ9:FQ13),"")</f>
        <v/>
      </c>
    </row>
    <row r="15">
      <c r="A15" s="609" t="inlineStr">
        <is>
          <t>ไม่ได้ทำ (คน)</t>
        </is>
      </c>
      <c r="B15" s="184" t="n"/>
      <c r="C15" s="184" t="n"/>
      <c r="D15" s="610">
        <f>IF(D$4&lt;&gt;1,"",COUNTIF(D9:D13,"✗"))</f>
        <v/>
      </c>
      <c r="E15" s="611">
        <f>IF(E$4&lt;&gt;1,"",COUNTIF(E9:E13,"✗"))</f>
        <v/>
      </c>
      <c r="F15" s="611">
        <f>IF(F$4&lt;&gt;1,"",COUNTIF(F9:F13,"✗"))</f>
        <v/>
      </c>
      <c r="G15" s="611">
        <f>IF(G$4&lt;&gt;1,"",COUNTIF(G9:G13,"✗"))</f>
        <v/>
      </c>
      <c r="H15" s="611">
        <f>IF(H$4&lt;&gt;1,"",COUNTIF(H9:H13,"✗"))</f>
        <v/>
      </c>
      <c r="I15" s="611">
        <f>IF(I$4&lt;&gt;1,"",COUNTIF(I9:I13,"✗"))</f>
        <v/>
      </c>
      <c r="J15" s="611">
        <f>IF(J$4&lt;&gt;1,"",COUNTIF(J9:J13,"✗"))</f>
        <v/>
      </c>
      <c r="K15" s="611">
        <f>IF(K$4&lt;&gt;1,"",COUNTIF(K9:K13,"✗"))</f>
        <v/>
      </c>
      <c r="L15" s="611">
        <f>IF(L$4&lt;&gt;1,"",COUNTIF(L9:L13,"✗"))</f>
        <v/>
      </c>
      <c r="M15" s="611">
        <f>IF(M$4&lt;&gt;1,"",COUNTIF(M9:M13,"✗"))</f>
        <v/>
      </c>
      <c r="N15" s="611">
        <f>IF(N$4&lt;&gt;1,"",COUNTIF(N9:N13,"✗"))</f>
        <v/>
      </c>
      <c r="O15" s="611">
        <f>IF(O$4&lt;&gt;1,"",COUNTIF(O9:O13,"✗"))</f>
        <v/>
      </c>
      <c r="P15" s="611">
        <f>IF(P$4&lt;&gt;1,"",COUNTIF(P9:P13,"✗"))</f>
        <v/>
      </c>
      <c r="Q15" s="611">
        <f>IF(Q$4&lt;&gt;1,"",COUNTIF(Q9:Q13,"✗"))</f>
        <v/>
      </c>
      <c r="R15" s="611">
        <f>IF(R$4&lt;&gt;1,"",COUNTIF(R9:R13,"✗"))</f>
        <v/>
      </c>
      <c r="S15" s="611">
        <f>IF(S$4&lt;&gt;1,"",COUNTIF(S9:S13,"✗"))</f>
        <v/>
      </c>
      <c r="T15" s="611">
        <f>IF(T$4&lt;&gt;1,"",COUNTIF(T9:T13,"✗"))</f>
        <v/>
      </c>
      <c r="U15" s="611">
        <f>IF(U$4&lt;&gt;1,"",COUNTIF(U9:U13,"✗"))</f>
        <v/>
      </c>
      <c r="V15" s="611">
        <f>IF(V$4&lt;&gt;1,"",COUNTIF(V9:V13,"✗"))</f>
        <v/>
      </c>
      <c r="W15" s="611">
        <f>IF(W$4&lt;&gt;1,"",COUNTIF(W9:W13,"✗"))</f>
        <v/>
      </c>
      <c r="X15" s="611">
        <f>IF(X$4&lt;&gt;1,"",COUNTIF(X9:X13,"✗"))</f>
        <v/>
      </c>
      <c r="Y15" s="611">
        <f>IF(Y$4&lt;&gt;1,"",COUNTIF(Y9:Y13,"✗"))</f>
        <v/>
      </c>
      <c r="Z15" s="611">
        <f>IF(Z$4&lt;&gt;1,"",COUNTIF(Z9:Z13,"✗"))</f>
        <v/>
      </c>
      <c r="AA15" s="611">
        <f>IF(AA$4&lt;&gt;1,"",COUNTIF(AA9:AA13,"✗"))</f>
        <v/>
      </c>
      <c r="AB15" s="611">
        <f>IF(AB$4&lt;&gt;1,"",COUNTIF(AB9:AB13,"✗"))</f>
        <v/>
      </c>
      <c r="AC15" s="611">
        <f>IF(AC$4&lt;&gt;1,"",COUNTIF(AC9:AC13,"✗"))</f>
        <v/>
      </c>
      <c r="AD15" s="611">
        <f>IF(AD$4&lt;&gt;1,"",COUNTIF(AD9:AD13,"✗"))</f>
        <v/>
      </c>
      <c r="AE15" s="611">
        <f>IF(AE$4&lt;&gt;1,"",COUNTIF(AE9:AE13,"✗"))</f>
        <v/>
      </c>
      <c r="AF15" s="611">
        <f>IF(AF$4&lt;&gt;1,"",COUNTIF(AF9:AF13,"✗"))</f>
        <v/>
      </c>
      <c r="AG15" s="611">
        <f>IF(AG$4&lt;&gt;1,"",COUNTIF(AG9:AG13,"✗"))</f>
        <v/>
      </c>
      <c r="AH15" s="611">
        <f>IF(AH$4&lt;&gt;1,"",COUNTIF(AH9:AH13,"✗"))</f>
        <v/>
      </c>
      <c r="AI15" s="612" t="n"/>
      <c r="AJ15" s="613" t="n"/>
      <c r="AK15" s="614" t="n"/>
      <c r="AL15" s="610">
        <f>IF(AL$4&lt;&gt;1,"",COUNTIF(AL9:AL13,"✗"))</f>
        <v/>
      </c>
      <c r="AM15" s="611">
        <f>IF(AM$4&lt;&gt;1,"",COUNTIF(AM9:AM13,"✗"))</f>
        <v/>
      </c>
      <c r="AN15" s="611">
        <f>IF(AN$4&lt;&gt;1,"",COUNTIF(AN9:AN13,"✗"))</f>
        <v/>
      </c>
      <c r="AO15" s="611">
        <f>IF(AO$4&lt;&gt;1,"",COUNTIF(AO9:AO13,"✗"))</f>
        <v/>
      </c>
      <c r="AP15" s="611">
        <f>IF(AP$4&lt;&gt;1,"",COUNTIF(AP9:AP13,"✗"))</f>
        <v/>
      </c>
      <c r="AQ15" s="611">
        <f>IF(AQ$4&lt;&gt;1,"",COUNTIF(AQ9:AQ13,"✗"))</f>
        <v/>
      </c>
      <c r="AR15" s="611">
        <f>IF(AR$4&lt;&gt;1,"",COUNTIF(AR9:AR13,"✗"))</f>
        <v/>
      </c>
      <c r="AS15" s="611">
        <f>IF(AS$4&lt;&gt;1,"",COUNTIF(AS9:AS13,"✗"))</f>
        <v/>
      </c>
      <c r="AT15" s="611">
        <f>IF(AT$4&lt;&gt;1,"",COUNTIF(AT9:AT13,"✗"))</f>
        <v/>
      </c>
      <c r="AU15" s="611">
        <f>IF(AU$4&lt;&gt;1,"",COUNTIF(AU9:AU13,"✗"))</f>
        <v/>
      </c>
      <c r="AV15" s="611">
        <f>IF(AV$4&lt;&gt;1,"",COUNTIF(AV9:AV13,"✗"))</f>
        <v/>
      </c>
      <c r="AW15" s="611">
        <f>IF(AW$4&lt;&gt;1,"",COUNTIF(AW9:AW13,"✗"))</f>
        <v/>
      </c>
      <c r="AX15" s="611">
        <f>IF(AX$4&lt;&gt;1,"",COUNTIF(AX9:AX13,"✗"))</f>
        <v/>
      </c>
      <c r="AY15" s="611">
        <f>IF(AY$4&lt;&gt;1,"",COUNTIF(AY9:AY13,"✗"))</f>
        <v/>
      </c>
      <c r="AZ15" s="611">
        <f>IF(AZ$4&lt;&gt;1,"",COUNTIF(AZ9:AZ13,"✗"))</f>
        <v/>
      </c>
      <c r="BA15" s="611">
        <f>IF(BA$4&lt;&gt;1,"",COUNTIF(BA9:BA13,"✗"))</f>
        <v/>
      </c>
      <c r="BB15" s="611">
        <f>IF(BB$4&lt;&gt;1,"",COUNTIF(BB9:BB13,"✗"))</f>
        <v/>
      </c>
      <c r="BC15" s="611">
        <f>IF(BC$4&lt;&gt;1,"",COUNTIF(BC9:BC13,"✗"))</f>
        <v/>
      </c>
      <c r="BD15" s="611">
        <f>IF(BD$4&lt;&gt;1,"",COUNTIF(BD9:BD13,"✗"))</f>
        <v/>
      </c>
      <c r="BE15" s="611">
        <f>IF(BE$4&lt;&gt;1,"",COUNTIF(BE9:BE13,"✗"))</f>
        <v/>
      </c>
      <c r="BF15" s="611">
        <f>IF(BF$4&lt;&gt;1,"",COUNTIF(BF9:BF13,"✗"))</f>
        <v/>
      </c>
      <c r="BG15" s="611">
        <f>IF(BG$4&lt;&gt;1,"",COUNTIF(BG9:BG13,"✗"))</f>
        <v/>
      </c>
      <c r="BH15" s="611">
        <f>IF(BH$4&lt;&gt;1,"",COUNTIF(BH9:BH13,"✗"))</f>
        <v/>
      </c>
      <c r="BI15" s="611">
        <f>IF(BI$4&lt;&gt;1,"",COUNTIF(BI9:BI13,"✗"))</f>
        <v/>
      </c>
      <c r="BJ15" s="611">
        <f>IF(BJ$4&lt;&gt;1,"",COUNTIF(BJ9:BJ13,"✗"))</f>
        <v/>
      </c>
      <c r="BK15" s="611">
        <f>IF(BK$4&lt;&gt;1,"",COUNTIF(BK9:BK13,"✗"))</f>
        <v/>
      </c>
      <c r="BL15" s="611">
        <f>IF(BL$4&lt;&gt;1,"",COUNTIF(BL9:BL13,"✗"))</f>
        <v/>
      </c>
      <c r="BM15" s="611">
        <f>IF(BM$4&lt;&gt;1,"",COUNTIF(BM9:BM13,"✗"))</f>
        <v/>
      </c>
      <c r="BN15" s="611">
        <f>IF(BN$4&lt;&gt;1,"",COUNTIF(BN9:BN13,"✗"))</f>
        <v/>
      </c>
      <c r="BO15" s="611">
        <f>IF(BO$4&lt;&gt;1,"",COUNTIF(BO9:BO13,"✗"))</f>
        <v/>
      </c>
      <c r="BP15" s="611">
        <f>IF(BP$4&lt;&gt;1,"",COUNTIF(BP9:BP13,"✗"))</f>
        <v/>
      </c>
      <c r="BQ15" s="612" t="n"/>
      <c r="BR15" s="613" t="n"/>
      <c r="BS15" s="614" t="n"/>
      <c r="BT15" s="610">
        <f>IF(BT$4&lt;&gt;1,"",COUNTIF(BT9:BT13,"✗"))</f>
        <v/>
      </c>
      <c r="BU15" s="611">
        <f>IF(BU$4&lt;&gt;1,"",COUNTIF(BU9:BU13,"✗"))</f>
        <v/>
      </c>
      <c r="BV15" s="611">
        <f>IF(BV$4&lt;&gt;1,"",COUNTIF(BV9:BV13,"✗"))</f>
        <v/>
      </c>
      <c r="BW15" s="611">
        <f>IF(BW$4&lt;&gt;1,"",COUNTIF(BW9:BW13,"✗"))</f>
        <v/>
      </c>
      <c r="BX15" s="611">
        <f>IF(BX$4&lt;&gt;1,"",COUNTIF(BX9:BX13,"✗"))</f>
        <v/>
      </c>
      <c r="BY15" s="611">
        <f>IF(BY$4&lt;&gt;1,"",COUNTIF(BY9:BY13,"✗"))</f>
        <v/>
      </c>
      <c r="BZ15" s="611">
        <f>IF(BZ$4&lt;&gt;1,"",COUNTIF(BZ9:BZ13,"✗"))</f>
        <v/>
      </c>
      <c r="CA15" s="611">
        <f>IF(CA$4&lt;&gt;1,"",COUNTIF(CA9:CA13,"✗"))</f>
        <v/>
      </c>
      <c r="CB15" s="611">
        <f>IF(CB$4&lt;&gt;1,"",COUNTIF(CB9:CB13,"✗"))</f>
        <v/>
      </c>
      <c r="CC15" s="611">
        <f>IF(CC$4&lt;&gt;1,"",COUNTIF(CC9:CC13,"✗"))</f>
        <v/>
      </c>
      <c r="CD15" s="611">
        <f>IF(CD$4&lt;&gt;1,"",COUNTIF(CD9:CD13,"✗"))</f>
        <v/>
      </c>
      <c r="CE15" s="611">
        <f>IF(CE$4&lt;&gt;1,"",COUNTIF(CE9:CE13,"✗"))</f>
        <v/>
      </c>
      <c r="CF15" s="611">
        <f>IF(CF$4&lt;&gt;1,"",COUNTIF(CF9:CF13,"✗"))</f>
        <v/>
      </c>
      <c r="CG15" s="611">
        <f>IF(CG$4&lt;&gt;1,"",COUNTIF(CG9:CG13,"✗"))</f>
        <v/>
      </c>
      <c r="CH15" s="611">
        <f>IF(CH$4&lt;&gt;1,"",COUNTIF(CH9:CH13,"✗"))</f>
        <v/>
      </c>
      <c r="CI15" s="611">
        <f>IF(CI$4&lt;&gt;1,"",COUNTIF(CI9:CI13,"✗"))</f>
        <v/>
      </c>
      <c r="CJ15" s="611">
        <f>IF(CJ$4&lt;&gt;1,"",COUNTIF(CJ9:CJ13,"✗"))</f>
        <v/>
      </c>
      <c r="CK15" s="611">
        <f>IF(CK$4&lt;&gt;1,"",COUNTIF(CK9:CK13,"✗"))</f>
        <v/>
      </c>
      <c r="CL15" s="611">
        <f>IF(CL$4&lt;&gt;1,"",COUNTIF(CL9:CL13,"✗"))</f>
        <v/>
      </c>
      <c r="CM15" s="611">
        <f>IF(CM$4&lt;&gt;1,"",COUNTIF(CM9:CM13,"✗"))</f>
        <v/>
      </c>
      <c r="CN15" s="611">
        <f>IF(CN$4&lt;&gt;1,"",COUNTIF(CN9:CN13,"✗"))</f>
        <v/>
      </c>
      <c r="CO15" s="611">
        <f>IF(CO$4&lt;&gt;1,"",COUNTIF(CO9:CO13,"✗"))</f>
        <v/>
      </c>
      <c r="CP15" s="611">
        <f>IF(CP$4&lt;&gt;1,"",COUNTIF(CP9:CP13,"✗"))</f>
        <v/>
      </c>
      <c r="CQ15" s="611">
        <f>IF(CQ$4&lt;&gt;1,"",COUNTIF(CQ9:CQ13,"✗"))</f>
        <v/>
      </c>
      <c r="CR15" s="611">
        <f>IF(CR$4&lt;&gt;1,"",COUNTIF(CR9:CR13,"✗"))</f>
        <v/>
      </c>
      <c r="CS15" s="611">
        <f>IF(CS$4&lt;&gt;1,"",COUNTIF(CS9:CS13,"✗"))</f>
        <v/>
      </c>
      <c r="CT15" s="611">
        <f>IF(CT$4&lt;&gt;1,"",COUNTIF(CT9:CT13,"✗"))</f>
        <v/>
      </c>
      <c r="CU15" s="611">
        <f>IF(CU$4&lt;&gt;1,"",COUNTIF(CU9:CU13,"✗"))</f>
        <v/>
      </c>
      <c r="CV15" s="611">
        <f>IF(CV$4&lt;&gt;1,"",COUNTIF(CV9:CV13,"✗"))</f>
        <v/>
      </c>
      <c r="CW15" s="611">
        <f>IF(CW$4&lt;&gt;1,"",COUNTIF(CW9:CW13,"✗"))</f>
        <v/>
      </c>
      <c r="CX15" s="611">
        <f>IF(CX$4&lt;&gt;1,"",COUNTIF(CX9:CX13,"✗"))</f>
        <v/>
      </c>
      <c r="CY15" s="612" t="n"/>
      <c r="CZ15" s="613" t="n"/>
      <c r="DA15" s="614" t="n"/>
      <c r="DB15" s="610">
        <f>IF(DB$4&lt;&gt;1,"",COUNTIF(DB9:DB13,"✗"))</f>
        <v/>
      </c>
      <c r="DC15" s="611">
        <f>IF(DC$4&lt;&gt;1,"",COUNTIF(DC9:DC13,"✗"))</f>
        <v/>
      </c>
      <c r="DD15" s="611">
        <f>IF(DD$4&lt;&gt;1,"",COUNTIF(DD9:DD13,"✗"))</f>
        <v/>
      </c>
      <c r="DE15" s="611">
        <f>IF(DE$4&lt;&gt;1,"",COUNTIF(DE9:DE13,"✗"))</f>
        <v/>
      </c>
      <c r="DF15" s="611">
        <f>IF(DF$4&lt;&gt;1,"",COUNTIF(DF9:DF13,"✗"))</f>
        <v/>
      </c>
      <c r="DG15" s="611">
        <f>IF(DG$4&lt;&gt;1,"",COUNTIF(DG9:DG13,"✗"))</f>
        <v/>
      </c>
      <c r="DH15" s="611">
        <f>IF(DH$4&lt;&gt;1,"",COUNTIF(DH9:DH13,"✗"))</f>
        <v/>
      </c>
      <c r="DI15" s="611">
        <f>IF(DI$4&lt;&gt;1,"",COUNTIF(DI9:DI13,"✗"))</f>
        <v/>
      </c>
      <c r="DJ15" s="611">
        <f>IF(DJ$4&lt;&gt;1,"",COUNTIF(DJ9:DJ13,"✗"))</f>
        <v/>
      </c>
      <c r="DK15" s="611">
        <f>IF(DK$4&lt;&gt;1,"",COUNTIF(DK9:DK13,"✗"))</f>
        <v/>
      </c>
      <c r="DL15" s="611">
        <f>IF(DL$4&lt;&gt;1,"",COUNTIF(DL9:DL13,"✗"))</f>
        <v/>
      </c>
      <c r="DM15" s="611">
        <f>IF(DM$4&lt;&gt;1,"",COUNTIF(DM9:DM13,"✗"))</f>
        <v/>
      </c>
      <c r="DN15" s="611">
        <f>IF(DN$4&lt;&gt;1,"",COUNTIF(DN9:DN13,"✗"))</f>
        <v/>
      </c>
      <c r="DO15" s="611">
        <f>IF(DO$4&lt;&gt;1,"",COUNTIF(DO9:DO13,"✗"))</f>
        <v/>
      </c>
      <c r="DP15" s="611">
        <f>IF(DP$4&lt;&gt;1,"",COUNTIF(DP9:DP13,"✗"))</f>
        <v/>
      </c>
      <c r="DQ15" s="611">
        <f>IF(DQ$4&lt;&gt;1,"",COUNTIF(DQ9:DQ13,"✗"))</f>
        <v/>
      </c>
      <c r="DR15" s="611">
        <f>IF(DR$4&lt;&gt;1,"",COUNTIF(DR9:DR13,"✗"))</f>
        <v/>
      </c>
      <c r="DS15" s="611">
        <f>IF(DS$4&lt;&gt;1,"",COUNTIF(DS9:DS13,"✗"))</f>
        <v/>
      </c>
      <c r="DT15" s="611">
        <f>IF(DT$4&lt;&gt;1,"",COUNTIF(DT9:DT13,"✗"))</f>
        <v/>
      </c>
      <c r="DU15" s="611">
        <f>IF(DU$4&lt;&gt;1,"",COUNTIF(DU9:DU13,"✗"))</f>
        <v/>
      </c>
      <c r="DV15" s="611">
        <f>IF(DV$4&lt;&gt;1,"",COUNTIF(DV9:DV13,"✗"))</f>
        <v/>
      </c>
      <c r="DW15" s="611">
        <f>IF(DW$4&lt;&gt;1,"",COUNTIF(DW9:DW13,"✗"))</f>
        <v/>
      </c>
      <c r="DX15" s="611">
        <f>IF(DX$4&lt;&gt;1,"",COUNTIF(DX9:DX13,"✗"))</f>
        <v/>
      </c>
      <c r="DY15" s="611">
        <f>IF(DY$4&lt;&gt;1,"",COUNTIF(DY9:DY13,"✗"))</f>
        <v/>
      </c>
      <c r="DZ15" s="611">
        <f>IF(DZ$4&lt;&gt;1,"",COUNTIF(DZ9:DZ13,"✗"))</f>
        <v/>
      </c>
      <c r="EA15" s="611">
        <f>IF(EA$4&lt;&gt;1,"",COUNTIF(EA9:EA13,"✗"))</f>
        <v/>
      </c>
      <c r="EB15" s="611">
        <f>IF(EB$4&lt;&gt;1,"",COUNTIF(EB9:EB13,"✗"))</f>
        <v/>
      </c>
      <c r="EC15" s="611">
        <f>IF(EC$4&lt;&gt;1,"",COUNTIF(EC9:EC13,"✗"))</f>
        <v/>
      </c>
      <c r="ED15" s="611">
        <f>IF(ED$4&lt;&gt;1,"",COUNTIF(ED9:ED13,"✗"))</f>
        <v/>
      </c>
      <c r="EE15" s="611">
        <f>IF(EE$4&lt;&gt;1,"",COUNTIF(EE9:EE13,"✗"))</f>
        <v/>
      </c>
      <c r="EF15" s="611">
        <f>IF(EF$4&lt;&gt;1,"",COUNTIF(EF9:EF13,"✗"))</f>
        <v/>
      </c>
      <c r="EG15" s="612" t="n"/>
      <c r="EH15" s="613" t="n"/>
      <c r="EI15" s="614" t="n"/>
      <c r="EJ15" s="610">
        <f>IF(EJ$4&lt;&gt;1,"",COUNTIF(EJ9:EJ13,"✗"))</f>
        <v/>
      </c>
      <c r="EK15" s="611">
        <f>IF(EK$4&lt;&gt;1,"",COUNTIF(EK9:EK13,"✗"))</f>
        <v/>
      </c>
      <c r="EL15" s="611">
        <f>IF(EL$4&lt;&gt;1,"",COUNTIF(EL9:EL13,"✗"))</f>
        <v/>
      </c>
      <c r="EM15" s="611">
        <f>IF(EM$4&lt;&gt;1,"",COUNTIF(EM9:EM13,"✗"))</f>
        <v/>
      </c>
      <c r="EN15" s="611">
        <f>IF(EN$4&lt;&gt;1,"",COUNTIF(EN9:EN13,"✗"))</f>
        <v/>
      </c>
      <c r="EO15" s="611">
        <f>IF(EO$4&lt;&gt;1,"",COUNTIF(EO9:EO13,"✗"))</f>
        <v/>
      </c>
      <c r="EP15" s="611">
        <f>IF(EP$4&lt;&gt;1,"",COUNTIF(EP9:EP13,"✗"))</f>
        <v/>
      </c>
      <c r="EQ15" s="611">
        <f>IF(EQ$4&lt;&gt;1,"",COUNTIF(EQ9:EQ13,"✗"))</f>
        <v/>
      </c>
      <c r="ER15" s="611">
        <f>IF(ER$4&lt;&gt;1,"",COUNTIF(ER9:ER13,"✗"))</f>
        <v/>
      </c>
      <c r="ES15" s="611">
        <f>IF(ES$4&lt;&gt;1,"",COUNTIF(ES9:ES13,"✗"))</f>
        <v/>
      </c>
      <c r="ET15" s="611">
        <f>IF(ET$4&lt;&gt;1,"",COUNTIF(ET9:ET13,"✗"))</f>
        <v/>
      </c>
      <c r="EU15" s="611">
        <f>IF(EU$4&lt;&gt;1,"",COUNTIF(EU9:EU13,"✗"))</f>
        <v/>
      </c>
      <c r="EV15" s="611">
        <f>IF(EV$4&lt;&gt;1,"",COUNTIF(EV9:EV13,"✗"))</f>
        <v/>
      </c>
      <c r="EW15" s="611">
        <f>IF(EW$4&lt;&gt;1,"",COUNTIF(EW9:EW13,"✗"))</f>
        <v/>
      </c>
      <c r="EX15" s="611">
        <f>IF(EX$4&lt;&gt;1,"",COUNTIF(EX9:EX13,"✗"))</f>
        <v/>
      </c>
      <c r="EY15" s="611">
        <f>IF(EY$4&lt;&gt;1,"",COUNTIF(EY9:EY13,"✗"))</f>
        <v/>
      </c>
      <c r="EZ15" s="611">
        <f>IF(EZ$4&lt;&gt;1,"",COUNTIF(EZ9:EZ13,"✗"))</f>
        <v/>
      </c>
      <c r="FA15" s="611">
        <f>IF(FA$4&lt;&gt;1,"",COUNTIF(FA9:FA13,"✗"))</f>
        <v/>
      </c>
      <c r="FB15" s="611">
        <f>IF(FB$4&lt;&gt;1,"",COUNTIF(FB9:FB13,"✗"))</f>
        <v/>
      </c>
      <c r="FC15" s="611">
        <f>IF(FC$4&lt;&gt;1,"",COUNTIF(FC9:FC13,"✗"))</f>
        <v/>
      </c>
      <c r="FD15" s="611">
        <f>IF(FD$4&lt;&gt;1,"",COUNTIF(FD9:FD13,"✗"))</f>
        <v/>
      </c>
      <c r="FE15" s="611">
        <f>IF(FE$4&lt;&gt;1,"",COUNTIF(FE9:FE13,"✗"))</f>
        <v/>
      </c>
      <c r="FF15" s="611">
        <f>IF(FF$4&lt;&gt;1,"",COUNTIF(FF9:FF13,"✗"))</f>
        <v/>
      </c>
      <c r="FG15" s="611">
        <f>IF(FG$4&lt;&gt;1,"",COUNTIF(FG9:FG13,"✗"))</f>
        <v/>
      </c>
      <c r="FH15" s="611">
        <f>IF(FH$4&lt;&gt;1,"",COUNTIF(FH9:FH13,"✗"))</f>
        <v/>
      </c>
      <c r="FI15" s="611">
        <f>IF(FI$4&lt;&gt;1,"",COUNTIF(FI9:FI13,"✗"))</f>
        <v/>
      </c>
      <c r="FJ15" s="611">
        <f>IF(FJ$4&lt;&gt;1,"",COUNTIF(FJ9:FJ13,"✗"))</f>
        <v/>
      </c>
      <c r="FK15" s="611">
        <f>IF(FK$4&lt;&gt;1,"",COUNTIF(FK9:FK13,"✗"))</f>
        <v/>
      </c>
      <c r="FL15" s="611">
        <f>IF(FL$4&lt;&gt;1,"",COUNTIF(FL9:FL13,"✗"))</f>
        <v/>
      </c>
      <c r="FM15" s="611">
        <f>IF(FM$4&lt;&gt;1,"",COUNTIF(FM9:FM13,"✗"))</f>
        <v/>
      </c>
      <c r="FN15" s="611">
        <f>IF(FN$4&lt;&gt;1,"",COUNTIF(FN9:FN13,"✗"))</f>
        <v/>
      </c>
      <c r="FO15" s="612" t="n"/>
      <c r="FP15" s="613" t="n"/>
      <c r="FQ15" s="614" t="n"/>
    </row>
    <row r="16">
      <c r="A16" s="609" t="inlineStr"/>
      <c r="B16" s="184" t="n"/>
      <c r="C16" s="184" t="n"/>
      <c r="D16" s="615" t="n"/>
      <c r="E16" s="616" t="n"/>
      <c r="F16" s="616" t="n"/>
      <c r="G16" s="616" t="n"/>
      <c r="H16" s="616" t="n"/>
      <c r="I16" s="616" t="n"/>
      <c r="J16" s="616" t="n"/>
      <c r="K16" s="616" t="n"/>
      <c r="L16" s="616" t="n"/>
      <c r="M16" s="616" t="n"/>
      <c r="N16" s="616" t="n"/>
      <c r="O16" s="616" t="n"/>
      <c r="P16" s="616" t="n"/>
      <c r="Q16" s="616" t="n"/>
      <c r="R16" s="616" t="n"/>
      <c r="S16" s="616" t="n"/>
      <c r="T16" s="616" t="n"/>
      <c r="U16" s="616" t="n"/>
      <c r="V16" s="616" t="n"/>
      <c r="W16" s="616" t="n"/>
      <c r="X16" s="616" t="n"/>
      <c r="Y16" s="616" t="n"/>
      <c r="Z16" s="616" t="n"/>
      <c r="AA16" s="616" t="n"/>
      <c r="AB16" s="616" t="n"/>
      <c r="AC16" s="616" t="n"/>
      <c r="AD16" s="616" t="n"/>
      <c r="AE16" s="616" t="n"/>
      <c r="AF16" s="616" t="n"/>
      <c r="AG16" s="616" t="n"/>
      <c r="AH16" s="616" t="n"/>
      <c r="AI16" s="612" t="n"/>
      <c r="AJ16" s="613" t="n"/>
      <c r="AK16" s="614" t="n"/>
      <c r="AL16" s="615" t="n"/>
      <c r="AM16" s="616" t="n"/>
      <c r="AN16" s="616" t="n"/>
      <c r="AO16" s="616" t="n"/>
      <c r="AP16" s="616" t="n"/>
      <c r="AQ16" s="616" t="n"/>
      <c r="AR16" s="616" t="n"/>
      <c r="AS16" s="616" t="n"/>
      <c r="AT16" s="616" t="n"/>
      <c r="AU16" s="616" t="n"/>
      <c r="AV16" s="616" t="n"/>
      <c r="AW16" s="616" t="n"/>
      <c r="AX16" s="616" t="n"/>
      <c r="AY16" s="616" t="n"/>
      <c r="AZ16" s="616" t="n"/>
      <c r="BA16" s="616" t="n"/>
      <c r="BB16" s="616" t="n"/>
      <c r="BC16" s="616" t="n"/>
      <c r="BD16" s="616" t="n"/>
      <c r="BE16" s="616" t="n"/>
      <c r="BF16" s="616" t="n"/>
      <c r="BG16" s="616" t="n"/>
      <c r="BH16" s="616" t="n"/>
      <c r="BI16" s="616" t="n"/>
      <c r="BJ16" s="616" t="n"/>
      <c r="BK16" s="616" t="n"/>
      <c r="BL16" s="616" t="n"/>
      <c r="BM16" s="616" t="n"/>
      <c r="BN16" s="616" t="n"/>
      <c r="BO16" s="616" t="n"/>
      <c r="BP16" s="616" t="n"/>
      <c r="BQ16" s="612" t="n"/>
      <c r="BR16" s="613" t="n"/>
      <c r="BS16" s="614" t="n"/>
      <c r="BT16" s="615" t="n"/>
      <c r="BU16" s="616" t="n"/>
      <c r="BV16" s="616" t="n"/>
      <c r="BW16" s="616" t="n"/>
      <c r="BX16" s="616" t="n"/>
      <c r="BY16" s="616" t="n"/>
      <c r="BZ16" s="616" t="n"/>
      <c r="CA16" s="616" t="n"/>
      <c r="CB16" s="616" t="n"/>
      <c r="CC16" s="616" t="n"/>
      <c r="CD16" s="616" t="n"/>
      <c r="CE16" s="616" t="n"/>
      <c r="CF16" s="616" t="n"/>
      <c r="CG16" s="616" t="n"/>
      <c r="CH16" s="616" t="n"/>
      <c r="CI16" s="616" t="n"/>
      <c r="CJ16" s="616" t="n"/>
      <c r="CK16" s="616" t="n"/>
      <c r="CL16" s="616" t="n"/>
      <c r="CM16" s="616" t="n"/>
      <c r="CN16" s="616" t="n"/>
      <c r="CO16" s="616" t="n"/>
      <c r="CP16" s="616" t="n"/>
      <c r="CQ16" s="616" t="n"/>
      <c r="CR16" s="616" t="n"/>
      <c r="CS16" s="616" t="n"/>
      <c r="CT16" s="616" t="n"/>
      <c r="CU16" s="616" t="n"/>
      <c r="CV16" s="616" t="n"/>
      <c r="CW16" s="616" t="n"/>
      <c r="CX16" s="616" t="n"/>
      <c r="CY16" s="612" t="n"/>
      <c r="CZ16" s="613" t="n"/>
      <c r="DA16" s="614" t="n"/>
      <c r="DB16" s="615" t="n"/>
      <c r="DC16" s="616" t="n"/>
      <c r="DD16" s="616" t="n"/>
      <c r="DE16" s="616" t="n"/>
      <c r="DF16" s="616" t="n"/>
      <c r="DG16" s="616" t="n"/>
      <c r="DH16" s="616" t="n"/>
      <c r="DI16" s="616" t="n"/>
      <c r="DJ16" s="616" t="n"/>
      <c r="DK16" s="616" t="n"/>
      <c r="DL16" s="616" t="n"/>
      <c r="DM16" s="616" t="n"/>
      <c r="DN16" s="616" t="n"/>
      <c r="DO16" s="616" t="n"/>
      <c r="DP16" s="616" t="n"/>
      <c r="DQ16" s="616" t="n"/>
      <c r="DR16" s="616" t="n"/>
      <c r="DS16" s="616" t="n"/>
      <c r="DT16" s="616" t="n"/>
      <c r="DU16" s="616" t="n"/>
      <c r="DV16" s="616" t="n"/>
      <c r="DW16" s="616" t="n"/>
      <c r="DX16" s="616" t="n"/>
      <c r="DY16" s="616" t="n"/>
      <c r="DZ16" s="616" t="n"/>
      <c r="EA16" s="616" t="n"/>
      <c r="EB16" s="616" t="n"/>
      <c r="EC16" s="616" t="n"/>
      <c r="ED16" s="616" t="n"/>
      <c r="EE16" s="616" t="n"/>
      <c r="EF16" s="616" t="n"/>
      <c r="EG16" s="612" t="n"/>
      <c r="EH16" s="613" t="n"/>
      <c r="EI16" s="614" t="n"/>
      <c r="EJ16" s="615" t="n"/>
      <c r="EK16" s="616" t="n"/>
      <c r="EL16" s="616" t="n"/>
      <c r="EM16" s="616" t="n"/>
      <c r="EN16" s="616" t="n"/>
      <c r="EO16" s="616" t="n"/>
      <c r="EP16" s="616" t="n"/>
      <c r="EQ16" s="616" t="n"/>
      <c r="ER16" s="616" t="n"/>
      <c r="ES16" s="616" t="n"/>
      <c r="ET16" s="616" t="n"/>
      <c r="EU16" s="616" t="n"/>
      <c r="EV16" s="616" t="n"/>
      <c r="EW16" s="616" t="n"/>
      <c r="EX16" s="616" t="n"/>
      <c r="EY16" s="616" t="n"/>
      <c r="EZ16" s="616" t="n"/>
      <c r="FA16" s="616" t="n"/>
      <c r="FB16" s="616" t="n"/>
      <c r="FC16" s="616" t="n"/>
      <c r="FD16" s="616" t="n"/>
      <c r="FE16" s="616" t="n"/>
      <c r="FF16" s="616" t="n"/>
      <c r="FG16" s="616" t="n"/>
      <c r="FH16" s="616" t="n"/>
      <c r="FI16" s="616" t="n"/>
      <c r="FJ16" s="616" t="n"/>
      <c r="FK16" s="616" t="n"/>
      <c r="FL16" s="616" t="n"/>
      <c r="FM16" s="616" t="n"/>
      <c r="FN16" s="616" t="n"/>
      <c r="FO16" s="612" t="n"/>
      <c r="FP16" s="613" t="n"/>
      <c r="FQ16" s="614" t="n"/>
    </row>
    <row r="17" ht="92" customHeight="1">
      <c r="A17" s="609" t="inlineStr">
        <is>
          <t>กิจกรรมที่ทำ</t>
        </is>
      </c>
      <c r="B17" s="184" t="n"/>
      <c r="C17" s="184" t="n"/>
      <c r="D17" s="617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612" t="n"/>
      <c r="AJ17" s="613" t="n"/>
      <c r="AK17" s="614" t="n"/>
      <c r="AL17" s="617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612" t="n"/>
      <c r="BR17" s="613" t="n"/>
      <c r="BS17" s="614" t="n"/>
      <c r="BT17" s="617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612" t="n"/>
      <c r="CZ17" s="613" t="n"/>
      <c r="DA17" s="614" t="n"/>
      <c r="DB17" s="617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612" t="n"/>
      <c r="EH17" s="613" t="n"/>
      <c r="EI17" s="614" t="n"/>
      <c r="EJ17" s="617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612" t="n"/>
      <c r="FP17" s="613" t="n"/>
      <c r="FQ17" s="61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tabColor rgb="00A184F6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618" t="inlineStr">
        <is>
          <t>🏠</t>
        </is>
      </c>
      <c r="B1" s="619" t="n"/>
      <c r="C1" s="619" t="n"/>
      <c r="D1" s="619" t="n"/>
      <c r="E1" s="619" t="n"/>
      <c r="F1" s="619" t="n"/>
      <c r="G1" s="619" t="n"/>
      <c r="H1" s="619" t="n"/>
      <c r="I1" s="619" t="n"/>
      <c r="J1" s="619" t="n"/>
      <c r="K1" s="619" t="n"/>
      <c r="L1" s="619" t="n"/>
      <c r="M1" s="619" t="n"/>
      <c r="N1" s="619" t="n"/>
      <c r="O1" s="619" t="n"/>
      <c r="P1" s="619" t="n"/>
      <c r="Q1" s="619" t="n"/>
      <c r="R1" s="619" t="n"/>
      <c r="S1" s="619" t="n"/>
      <c r="T1" s="619" t="n"/>
      <c r="U1" s="619" t="n"/>
      <c r="V1" s="619" t="n"/>
      <c r="W1" s="619" t="n"/>
      <c r="X1" s="619" t="n"/>
      <c r="Y1" s="619" t="n"/>
      <c r="Z1" s="619" t="n"/>
      <c r="AA1" s="619" t="n"/>
      <c r="AB1" s="619" t="n"/>
      <c r="AC1" s="619" t="n"/>
      <c r="AD1" s="619" t="n"/>
      <c r="AE1" s="619" t="n"/>
      <c r="AF1" s="619" t="n"/>
      <c r="AG1" s="619" t="n"/>
      <c r="AH1" s="619" t="n"/>
      <c r="AI1" s="619" t="n"/>
      <c r="AJ1" s="619" t="n"/>
      <c r="AK1" s="619" t="n"/>
      <c r="AL1" s="619" t="n"/>
      <c r="AM1" s="619" t="n"/>
      <c r="AN1" s="619" t="n"/>
      <c r="AO1" s="619" t="n"/>
      <c r="AP1" s="619" t="n"/>
      <c r="AQ1" s="619" t="n"/>
      <c r="AR1" s="619" t="n"/>
      <c r="AS1" s="619" t="n"/>
      <c r="AT1" s="619" t="n"/>
      <c r="AU1" s="619" t="n"/>
      <c r="AV1" s="619" t="n"/>
      <c r="AW1" s="619" t="n"/>
      <c r="AX1" s="619" t="n"/>
      <c r="AY1" s="619" t="n"/>
      <c r="AZ1" s="619" t="n"/>
      <c r="BA1" s="619" t="n"/>
      <c r="BB1" s="619" t="n"/>
      <c r="BC1" s="619" t="n"/>
      <c r="BD1" s="619" t="n"/>
      <c r="BE1" s="619" t="n"/>
      <c r="BF1" s="619" t="n"/>
      <c r="BG1" s="619" t="n"/>
      <c r="BH1" s="619" t="n"/>
      <c r="BI1" s="619" t="n"/>
      <c r="BJ1" s="619" t="n"/>
      <c r="BK1" s="619" t="n"/>
      <c r="BL1" s="619" t="n"/>
      <c r="BM1" s="619" t="n"/>
      <c r="BN1" s="619" t="n"/>
      <c r="BO1" s="619" t="n"/>
      <c r="BP1" s="619" t="n"/>
      <c r="BQ1" s="619" t="n"/>
      <c r="BR1" s="619" t="n"/>
      <c r="BS1" s="619" t="n"/>
      <c r="BT1" s="619" t="n"/>
      <c r="BU1" s="619" t="n"/>
      <c r="BV1" s="619" t="n"/>
      <c r="BW1" s="619" t="n"/>
      <c r="BX1" s="619" t="n"/>
      <c r="BY1" s="619" t="n"/>
      <c r="BZ1" s="619" t="n"/>
      <c r="CA1" s="619" t="n"/>
      <c r="CB1" s="619" t="n"/>
      <c r="CC1" s="619" t="n"/>
      <c r="CD1" s="619" t="n"/>
      <c r="CE1" s="619" t="n"/>
      <c r="CF1" s="619" t="n"/>
      <c r="CG1" s="619" t="n"/>
      <c r="CH1" s="619" t="n"/>
      <c r="CI1" s="619" t="n"/>
      <c r="CJ1" s="619" t="n"/>
      <c r="CK1" s="619" t="n"/>
      <c r="CL1" s="619" t="n"/>
      <c r="CM1" s="619" t="n"/>
      <c r="CN1" s="619" t="n"/>
      <c r="CO1" s="619" t="n"/>
      <c r="CP1" s="619" t="n"/>
      <c r="CQ1" s="619" t="n"/>
      <c r="CR1" s="619" t="n"/>
      <c r="CS1" s="619" t="n"/>
      <c r="CT1" s="619" t="n"/>
      <c r="CU1" s="619" t="n"/>
      <c r="CV1" s="619" t="n"/>
      <c r="CW1" s="619" t="n"/>
      <c r="CX1" s="619" t="n"/>
      <c r="CY1" s="619" t="n"/>
      <c r="CZ1" s="619" t="n"/>
      <c r="DA1" s="619" t="n"/>
      <c r="DB1" s="619" t="n"/>
      <c r="DC1" s="619" t="n"/>
      <c r="DD1" s="619" t="n"/>
      <c r="DE1" s="619" t="n"/>
      <c r="DF1" s="619" t="n"/>
      <c r="DG1" s="619" t="n"/>
      <c r="DH1" s="619" t="n"/>
      <c r="DI1" s="619" t="n"/>
      <c r="DJ1" s="619" t="n"/>
      <c r="DK1" s="619" t="n"/>
      <c r="DL1" s="619" t="n"/>
      <c r="DM1" s="619" t="n"/>
      <c r="DN1" s="619" t="n"/>
      <c r="DO1" s="619" t="n"/>
      <c r="DP1" s="619" t="n"/>
      <c r="DQ1" s="619" t="n"/>
      <c r="DR1" s="619" t="n"/>
      <c r="DS1" s="619" t="n"/>
      <c r="DT1" s="619" t="n"/>
      <c r="DU1" s="619" t="n"/>
      <c r="DV1" s="619" t="n"/>
      <c r="DW1" s="619" t="n"/>
      <c r="DX1" s="619" t="n"/>
      <c r="DY1" s="619" t="n"/>
      <c r="DZ1" s="619" t="n"/>
      <c r="EA1" s="619" t="n"/>
      <c r="EB1" s="619" t="n"/>
      <c r="EC1" s="619" t="n"/>
      <c r="ED1" s="619" t="n"/>
      <c r="EE1" s="619" t="n"/>
      <c r="EF1" s="619" t="n"/>
      <c r="EG1" s="619" t="n"/>
      <c r="EH1" s="619" t="n"/>
      <c r="EI1" s="619" t="n"/>
      <c r="EJ1" s="619" t="n"/>
      <c r="EK1" s="619" t="n"/>
      <c r="EL1" s="619" t="n"/>
      <c r="EM1" s="619" t="n"/>
      <c r="EN1" s="619" t="n"/>
      <c r="EO1" s="619" t="n"/>
      <c r="EP1" s="619" t="n"/>
      <c r="EQ1" s="619" t="n"/>
      <c r="ER1" s="619" t="n"/>
      <c r="ES1" s="619" t="n"/>
      <c r="ET1" s="619" t="n"/>
      <c r="EU1" s="619" t="n"/>
      <c r="EV1" s="619" t="n"/>
      <c r="EW1" s="619" t="n"/>
      <c r="EX1" s="619" t="n"/>
      <c r="EY1" s="619" t="n"/>
      <c r="EZ1" s="619" t="n"/>
      <c r="FA1" s="619" t="n"/>
      <c r="FB1" s="619" t="n"/>
      <c r="FC1" s="619" t="n"/>
      <c r="FD1" s="619" t="n"/>
      <c r="FE1" s="619" t="n"/>
      <c r="FF1" s="619" t="n"/>
      <c r="FG1" s="619" t="n"/>
      <c r="FH1" s="619" t="n"/>
      <c r="FI1" s="619" t="n"/>
      <c r="FJ1" s="619" t="n"/>
      <c r="FK1" s="619" t="n"/>
      <c r="FL1" s="619" t="n"/>
      <c r="FM1" s="619" t="n"/>
      <c r="FN1" s="619" t="n"/>
      <c r="FO1" s="619" t="n"/>
      <c r="FP1" s="619" t="n"/>
      <c r="FQ1" s="619" t="n"/>
      <c r="FR1" s="619" t="n"/>
      <c r="FS1" s="619" t="n"/>
      <c r="FT1" s="619" t="n"/>
      <c r="FU1" s="619" t="n"/>
      <c r="FV1" s="619" t="n"/>
      <c r="FW1" s="619" t="n"/>
      <c r="FX1" s="619" t="n"/>
      <c r="FY1" s="619" t="n"/>
      <c r="FZ1" s="619" t="n"/>
      <c r="GA1" s="619" t="n"/>
      <c r="GB1" s="619" t="n"/>
      <c r="GC1" s="619" t="n"/>
      <c r="GD1" s="619" t="n"/>
      <c r="GE1" s="619" t="n"/>
      <c r="GF1" s="619" t="n"/>
      <c r="GG1" s="619" t="n"/>
      <c r="GH1" s="619" t="n"/>
      <c r="GI1" s="619" t="n"/>
      <c r="GJ1" s="619" t="n"/>
      <c r="GK1" s="619" t="n"/>
      <c r="GL1" s="619" t="n"/>
      <c r="GM1" s="619" t="n"/>
      <c r="GN1" s="619" t="n"/>
      <c r="GO1" s="619" t="n"/>
      <c r="GP1" s="619" t="n"/>
      <c r="GQ1" s="619" t="n"/>
      <c r="GR1" s="619" t="n"/>
      <c r="GS1" s="619" t="n"/>
      <c r="GT1" s="619" t="n"/>
      <c r="GU1" s="619" t="n"/>
      <c r="GV1" s="619" t="n"/>
      <c r="GW1" s="619" t="n"/>
      <c r="GX1" s="619" t="n"/>
      <c r="GY1" s="619" t="n"/>
    </row>
    <row r="2" ht="20" customHeight="1">
      <c r="A2" s="620" t="inlineStr">
        <is>
          <t>หน้าหลัก</t>
        </is>
      </c>
      <c r="B2" s="62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22" t="n"/>
      <c r="D2" s="622" t="n"/>
      <c r="E2" s="622" t="n"/>
      <c r="F2" s="622" t="n"/>
      <c r="G2" s="622" t="n"/>
      <c r="H2" s="622" t="n"/>
      <c r="I2" s="622" t="n"/>
      <c r="J2" s="622" t="n"/>
      <c r="K2" s="622" t="n"/>
      <c r="L2" s="622" t="n"/>
      <c r="M2" s="622" t="n"/>
      <c r="N2" s="622" t="n"/>
      <c r="O2" s="622" t="n"/>
      <c r="P2" s="622" t="n"/>
      <c r="Q2" s="622" t="n"/>
      <c r="R2" s="622" t="n"/>
      <c r="S2" s="622" t="n"/>
      <c r="T2" s="622" t="n"/>
      <c r="U2" s="622" t="n"/>
      <c r="V2" s="622" t="n"/>
      <c r="W2" s="622" t="n"/>
      <c r="X2" s="622" t="n"/>
      <c r="Y2" s="622" t="n"/>
      <c r="Z2" s="622" t="n"/>
      <c r="AA2" s="622" t="n"/>
      <c r="AB2" s="622" t="n"/>
      <c r="AC2" s="622" t="n"/>
      <c r="AD2" s="622" t="n"/>
      <c r="AE2" s="622" t="n"/>
      <c r="AF2" s="622" t="n"/>
      <c r="AG2" s="622" t="n"/>
      <c r="AH2" s="622" t="n"/>
      <c r="AI2" s="622" t="n"/>
      <c r="AJ2" s="622" t="n"/>
      <c r="AK2" s="622" t="n"/>
      <c r="AL2" s="622" t="n"/>
      <c r="AM2" s="622" t="n"/>
      <c r="AN2" s="622" t="n"/>
      <c r="AO2" s="622" t="n"/>
      <c r="AP2" s="622" t="n"/>
      <c r="AQ2" s="622" t="n"/>
      <c r="AR2" s="622" t="n"/>
      <c r="AS2" s="622" t="n"/>
      <c r="AT2" s="622" t="n"/>
      <c r="AU2" s="622" t="n"/>
      <c r="AV2" s="622" t="n"/>
      <c r="AW2" s="622" t="n"/>
      <c r="AX2" s="622" t="n"/>
      <c r="AY2" s="622" t="n"/>
      <c r="AZ2" s="622" t="n"/>
      <c r="BA2" s="622" t="n"/>
      <c r="BB2" s="622" t="n"/>
      <c r="BC2" s="622" t="n"/>
      <c r="BD2" s="622" t="n"/>
      <c r="BE2" s="622" t="n"/>
      <c r="BF2" s="622" t="n"/>
      <c r="BG2" s="622" t="n"/>
      <c r="BH2" s="622" t="n"/>
      <c r="BI2" s="622" t="n"/>
      <c r="BJ2" s="622" t="n"/>
      <c r="BK2" s="622" t="n"/>
      <c r="BL2" s="622" t="n"/>
      <c r="BM2" s="622" t="n"/>
      <c r="BN2" s="622" t="n"/>
      <c r="BO2" s="622" t="n"/>
      <c r="BP2" s="622" t="n"/>
      <c r="BQ2" s="622" t="n"/>
      <c r="BR2" s="622" t="n"/>
      <c r="BS2" s="622" t="n"/>
      <c r="BT2" s="622" t="n"/>
      <c r="BU2" s="622" t="n"/>
      <c r="BV2" s="622" t="n"/>
      <c r="BW2" s="622" t="n"/>
      <c r="BX2" s="622" t="n"/>
      <c r="BY2" s="622" t="n"/>
      <c r="BZ2" s="622" t="n"/>
      <c r="CA2" s="622" t="n"/>
      <c r="CB2" s="622" t="n"/>
      <c r="CC2" s="622" t="n"/>
      <c r="CD2" s="622" t="n"/>
      <c r="CE2" s="622" t="n"/>
      <c r="CF2" s="622" t="n"/>
      <c r="CG2" s="622" t="n"/>
      <c r="CH2" s="622" t="n"/>
      <c r="CI2" s="622" t="n"/>
      <c r="CJ2" s="622" t="n"/>
      <c r="CK2" s="622" t="n"/>
      <c r="CL2" s="622" t="n"/>
      <c r="CM2" s="622" t="n"/>
      <c r="CN2" s="622" t="n"/>
      <c r="CO2" s="622" t="n"/>
      <c r="CP2" s="622" t="n"/>
      <c r="CQ2" s="622" t="n"/>
      <c r="CR2" s="622" t="n"/>
      <c r="CS2" s="622" t="n"/>
      <c r="CT2" s="622" t="n"/>
      <c r="CU2" s="622" t="n"/>
      <c r="CV2" s="622" t="n"/>
      <c r="CW2" s="622" t="n"/>
      <c r="CX2" s="622" t="n"/>
      <c r="CY2" s="622" t="n"/>
      <c r="CZ2" s="622" t="n"/>
      <c r="DA2" s="622" t="n"/>
      <c r="DB2" s="622" t="n"/>
      <c r="DC2" s="622" t="n"/>
      <c r="DD2" s="622" t="n"/>
      <c r="DE2" s="622" t="n"/>
      <c r="DF2" s="622" t="n"/>
      <c r="DG2" s="622" t="n"/>
      <c r="DH2" s="622" t="n"/>
      <c r="DI2" s="622" t="n"/>
      <c r="DJ2" s="622" t="n"/>
      <c r="DK2" s="622" t="n"/>
      <c r="DL2" s="622" t="n"/>
      <c r="DM2" s="622" t="n"/>
      <c r="DN2" s="622" t="n"/>
      <c r="DO2" s="622" t="n"/>
      <c r="DP2" s="622" t="n"/>
      <c r="DQ2" s="622" t="n"/>
      <c r="DR2" s="622" t="n"/>
      <c r="DS2" s="622" t="n"/>
      <c r="DT2" s="622" t="n"/>
      <c r="DU2" s="622" t="n"/>
      <c r="DV2" s="622" t="n"/>
      <c r="DW2" s="622" t="n"/>
      <c r="DX2" s="622" t="n"/>
      <c r="DY2" s="622" t="n"/>
      <c r="DZ2" s="622" t="n"/>
      <c r="EA2" s="622" t="n"/>
      <c r="EB2" s="622" t="n"/>
      <c r="EC2" s="622" t="n"/>
      <c r="ED2" s="622" t="n"/>
      <c r="EE2" s="622" t="n"/>
      <c r="EF2" s="622" t="n"/>
      <c r="EG2" s="622" t="n"/>
      <c r="EH2" s="622" t="n"/>
      <c r="EI2" s="622" t="n"/>
      <c r="EJ2" s="622" t="n"/>
      <c r="EK2" s="622" t="n"/>
      <c r="EL2" s="622" t="n"/>
      <c r="EM2" s="622" t="n"/>
      <c r="EN2" s="622" t="n"/>
      <c r="EO2" s="622" t="n"/>
      <c r="EP2" s="622" t="n"/>
      <c r="EQ2" s="622" t="n"/>
      <c r="ER2" s="622" t="n"/>
      <c r="ES2" s="622" t="n"/>
      <c r="ET2" s="622" t="n"/>
      <c r="EU2" s="622" t="n"/>
      <c r="EV2" s="622" t="n"/>
      <c r="EW2" s="622" t="n"/>
      <c r="EX2" s="622" t="n"/>
      <c r="EY2" s="622" t="n"/>
      <c r="EZ2" s="622" t="n"/>
      <c r="FA2" s="622" t="n"/>
      <c r="FB2" s="622" t="n"/>
      <c r="FC2" s="622" t="n"/>
      <c r="FD2" s="622" t="n"/>
      <c r="FE2" s="622" t="n"/>
      <c r="FF2" s="622" t="n"/>
      <c r="FG2" s="622" t="n"/>
      <c r="FH2" s="622" t="n"/>
      <c r="FI2" s="622" t="n"/>
      <c r="FJ2" s="622" t="n"/>
      <c r="FK2" s="622" t="n"/>
      <c r="FL2" s="622" t="n"/>
      <c r="FM2" s="622" t="n"/>
      <c r="FN2" s="622" t="n"/>
      <c r="FO2" s="622" t="n"/>
      <c r="FP2" s="622" t="n"/>
      <c r="FQ2" s="622" t="n"/>
      <c r="FR2" s="622" t="n"/>
      <c r="FS2" s="622" t="n"/>
      <c r="FT2" s="622" t="n"/>
      <c r="FU2" s="622" t="n"/>
      <c r="FV2" s="622" t="n"/>
      <c r="FW2" s="622" t="n"/>
      <c r="FX2" s="622" t="n"/>
      <c r="FY2" s="622" t="n"/>
      <c r="FZ2" s="622" t="n"/>
      <c r="GA2" s="622" t="n"/>
      <c r="GB2" s="622" t="n"/>
      <c r="GC2" s="622" t="n"/>
      <c r="GD2" s="622" t="n"/>
      <c r="GE2" s="622" t="n"/>
      <c r="GF2" s="622" t="n"/>
      <c r="GG2" s="622" t="n"/>
      <c r="GH2" s="622" t="n"/>
      <c r="GI2" s="622" t="n"/>
      <c r="GJ2" s="622" t="n"/>
      <c r="GK2" s="622" t="n"/>
      <c r="GL2" s="622" t="n"/>
      <c r="GM2" s="622" t="n"/>
      <c r="GN2" s="622" t="n"/>
      <c r="GO2" s="622" t="n"/>
      <c r="GP2" s="622" t="n"/>
      <c r="GQ2" s="622" t="n"/>
      <c r="GR2" s="622" t="n"/>
      <c r="GS2" s="622" t="n"/>
      <c r="GT2" s="622" t="n"/>
      <c r="GU2" s="622" t="n"/>
      <c r="GV2" s="622" t="n"/>
      <c r="GW2" s="622" t="n"/>
      <c r="GX2" s="622" t="n"/>
      <c r="GY2" s="622" t="n"/>
    </row>
    <row r="3" ht="18" customHeight="1">
      <c r="B3" s="390" t="inlineStr">
        <is>
          <t>✓ = เข้าร่วม     ✗ = ไม่เข้าร่วม      •   แถวล่างสุดบันทึกหัวข้อ/กิจกรรมประจำวัน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391" t="inlineStr">
        <is>
          <t>เลขที่</t>
        </is>
      </c>
      <c r="B5" s="391" t="inlineStr">
        <is>
          <t>ชื่อ - สกุล</t>
        </is>
      </c>
      <c r="C5" s="392" t="inlineStr">
        <is>
          <t>ร้อยละ
ทั้งภาค</t>
        </is>
      </c>
      <c r="D5" s="623">
        <f>"เดือนพฤษภาคม  พ.ศ. "&amp;('ข้อมูลโรงเรียน'!$C$12-543+543)</f>
        <v/>
      </c>
      <c r="AI5" s="624" t="inlineStr">
        <is>
          <t>สรุป พ.ค.</t>
        </is>
      </c>
      <c r="AL5" s="623">
        <f>"เดือนมิถุนายน  พ.ศ. "&amp;('ข้อมูลโรงเรียน'!$C$12-543+543)</f>
        <v/>
      </c>
      <c r="BQ5" s="624" t="inlineStr">
        <is>
          <t>สรุป มิ.ย.</t>
        </is>
      </c>
      <c r="BT5" s="623">
        <f>"เดือนกรกฎาคม  พ.ศ. "&amp;('ข้อมูลโรงเรียน'!$C$12-543+543)</f>
        <v/>
      </c>
      <c r="CY5" s="624" t="inlineStr">
        <is>
          <t>สรุป ก.ค.</t>
        </is>
      </c>
      <c r="DB5" s="623">
        <f>"เดือนสิงหาคม  พ.ศ. "&amp;('ข้อมูลโรงเรียน'!$C$12-543+543)</f>
        <v/>
      </c>
      <c r="EG5" s="624" t="inlineStr">
        <is>
          <t>สรุป ส.ค.</t>
        </is>
      </c>
      <c r="EJ5" s="623">
        <f>"เดือนกันยายน  พ.ศ. "&amp;('ข้อมูลโรงเรียน'!$C$12-543+543)</f>
        <v/>
      </c>
      <c r="FO5" s="624" t="inlineStr">
        <is>
          <t>สรุป ก.ย.</t>
        </is>
      </c>
      <c r="FR5" s="623">
        <f>"เดือนตุลาคม  พ.ศ. "&amp;('ข้อมูลโรงเรียน'!$C$12-543+543)</f>
        <v/>
      </c>
      <c r="GW5" s="624" t="inlineStr">
        <is>
          <t>สรุป ต.ค.</t>
        </is>
      </c>
    </row>
    <row r="6">
      <c r="D6" s="625">
        <f>IF('ปฏิทิน'!D1="","",DAY('ปฏิทิน'!D1))</f>
        <v/>
      </c>
      <c r="E6" s="392">
        <f>IF('ปฏิทิน'!E1="","",DAY('ปฏิทิน'!E1))</f>
        <v/>
      </c>
      <c r="F6" s="392">
        <f>IF('ปฏิทิน'!F1="","",DAY('ปฏิทิน'!F1))</f>
        <v/>
      </c>
      <c r="G6" s="392">
        <f>IF('ปฏิทิน'!G1="","",DAY('ปฏิทิน'!G1))</f>
        <v/>
      </c>
      <c r="H6" s="392">
        <f>IF('ปฏิทิน'!H1="","",DAY('ปฏิทิน'!H1))</f>
        <v/>
      </c>
      <c r="I6" s="392">
        <f>IF('ปฏิทิน'!I1="","",DAY('ปฏิทิน'!I1))</f>
        <v/>
      </c>
      <c r="J6" s="392">
        <f>IF('ปฏิทิน'!J1="","",DAY('ปฏิทิน'!J1))</f>
        <v/>
      </c>
      <c r="K6" s="392">
        <f>IF('ปฏิทิน'!K1="","",DAY('ปฏิทิน'!K1))</f>
        <v/>
      </c>
      <c r="L6" s="392">
        <f>IF('ปฏิทิน'!L1="","",DAY('ปฏิทิน'!L1))</f>
        <v/>
      </c>
      <c r="M6" s="392">
        <f>IF('ปฏิทิน'!M1="","",DAY('ปฏิทิน'!M1))</f>
        <v/>
      </c>
      <c r="N6" s="392">
        <f>IF('ปฏิทิน'!N1="","",DAY('ปฏิทิน'!N1))</f>
        <v/>
      </c>
      <c r="O6" s="392">
        <f>IF('ปฏิทิน'!O1="","",DAY('ปฏิทิน'!O1))</f>
        <v/>
      </c>
      <c r="P6" s="392">
        <f>IF('ปฏิทิน'!P1="","",DAY('ปฏิทิน'!P1))</f>
        <v/>
      </c>
      <c r="Q6" s="392">
        <f>IF('ปฏิทิน'!Q1="","",DAY('ปฏิทิน'!Q1))</f>
        <v/>
      </c>
      <c r="R6" s="392">
        <f>IF('ปฏิทิน'!R1="","",DAY('ปฏิทิน'!R1))</f>
        <v/>
      </c>
      <c r="S6" s="392">
        <f>IF('ปฏิทิน'!S1="","",DAY('ปฏิทิน'!S1))</f>
        <v/>
      </c>
      <c r="T6" s="392">
        <f>IF('ปฏิทิน'!T1="","",DAY('ปฏิทิน'!T1))</f>
        <v/>
      </c>
      <c r="U6" s="392">
        <f>IF('ปฏิทิน'!U1="","",DAY('ปฏิทิน'!U1))</f>
        <v/>
      </c>
      <c r="V6" s="392">
        <f>IF('ปฏิทิน'!V1="","",DAY('ปฏิทิน'!V1))</f>
        <v/>
      </c>
      <c r="W6" s="392">
        <f>IF('ปฏิทิน'!W1="","",DAY('ปฏิทิน'!W1))</f>
        <v/>
      </c>
      <c r="X6" s="392">
        <f>IF('ปฏิทิน'!X1="","",DAY('ปฏิทิน'!X1))</f>
        <v/>
      </c>
      <c r="Y6" s="392">
        <f>IF('ปฏิทิน'!Y1="","",DAY('ปฏิทิน'!Y1))</f>
        <v/>
      </c>
      <c r="Z6" s="392">
        <f>IF('ปฏิทิน'!Z1="","",DAY('ปฏิทิน'!Z1))</f>
        <v/>
      </c>
      <c r="AA6" s="392">
        <f>IF('ปฏิทิน'!AA1="","",DAY('ปฏิทิน'!AA1))</f>
        <v/>
      </c>
      <c r="AB6" s="392">
        <f>IF('ปฏิทิน'!AB1="","",DAY('ปฏิทิน'!AB1))</f>
        <v/>
      </c>
      <c r="AC6" s="392">
        <f>IF('ปฏิทิน'!AC1="","",DAY('ปฏิทิน'!AC1))</f>
        <v/>
      </c>
      <c r="AD6" s="392">
        <f>IF('ปฏิทิน'!AD1="","",DAY('ปฏิทิน'!AD1))</f>
        <v/>
      </c>
      <c r="AE6" s="392">
        <f>IF('ปฏิทิน'!AE1="","",DAY('ปฏิทิน'!AE1))</f>
        <v/>
      </c>
      <c r="AF6" s="392">
        <f>IF('ปฏิทิน'!AF1="","",DAY('ปฏิทิน'!AF1))</f>
        <v/>
      </c>
      <c r="AG6" s="392">
        <f>IF('ปฏิทิน'!AG1="","",DAY('ปฏิทิน'!AG1))</f>
        <v/>
      </c>
      <c r="AH6" s="392">
        <f>IF('ปฏิทิน'!AH1="","",DAY('ปฏิทิน'!AH1))</f>
        <v/>
      </c>
      <c r="AI6" s="626" t="inlineStr">
        <is>
          <t>ร่วม</t>
        </is>
      </c>
      <c r="AJ6" s="627" t="inlineStr">
        <is>
          <t>ไม่
ร่วม</t>
        </is>
      </c>
      <c r="AK6" s="628" t="inlineStr">
        <is>
          <t>ร้อยละ</t>
        </is>
      </c>
      <c r="AL6" s="625">
        <f>IF('ปฏิทิน'!AL1="","",DAY('ปฏิทิน'!AL1))</f>
        <v/>
      </c>
      <c r="AM6" s="392">
        <f>IF('ปฏิทิน'!AM1="","",DAY('ปฏิทิน'!AM1))</f>
        <v/>
      </c>
      <c r="AN6" s="392">
        <f>IF('ปฏิทิน'!AN1="","",DAY('ปฏิทิน'!AN1))</f>
        <v/>
      </c>
      <c r="AO6" s="392">
        <f>IF('ปฏิทิน'!AO1="","",DAY('ปฏิทิน'!AO1))</f>
        <v/>
      </c>
      <c r="AP6" s="392">
        <f>IF('ปฏิทิน'!AP1="","",DAY('ปฏิทิน'!AP1))</f>
        <v/>
      </c>
      <c r="AQ6" s="392">
        <f>IF('ปฏิทิน'!AQ1="","",DAY('ปฏิทิน'!AQ1))</f>
        <v/>
      </c>
      <c r="AR6" s="392">
        <f>IF('ปฏิทิน'!AR1="","",DAY('ปฏิทิน'!AR1))</f>
        <v/>
      </c>
      <c r="AS6" s="392">
        <f>IF('ปฏิทิน'!AS1="","",DAY('ปฏิทิน'!AS1))</f>
        <v/>
      </c>
      <c r="AT6" s="392">
        <f>IF('ปฏิทิน'!AT1="","",DAY('ปฏิทิน'!AT1))</f>
        <v/>
      </c>
      <c r="AU6" s="392">
        <f>IF('ปฏิทิน'!AU1="","",DAY('ปฏิทิน'!AU1))</f>
        <v/>
      </c>
      <c r="AV6" s="392">
        <f>IF('ปฏิทิน'!AV1="","",DAY('ปฏิทิน'!AV1))</f>
        <v/>
      </c>
      <c r="AW6" s="392">
        <f>IF('ปฏิทิน'!AW1="","",DAY('ปฏิทิน'!AW1))</f>
        <v/>
      </c>
      <c r="AX6" s="392">
        <f>IF('ปฏิทิน'!AX1="","",DAY('ปฏิทิน'!AX1))</f>
        <v/>
      </c>
      <c r="AY6" s="392">
        <f>IF('ปฏิทิน'!AY1="","",DAY('ปฏิทิน'!AY1))</f>
        <v/>
      </c>
      <c r="AZ6" s="392">
        <f>IF('ปฏิทิน'!AZ1="","",DAY('ปฏิทิน'!AZ1))</f>
        <v/>
      </c>
      <c r="BA6" s="392">
        <f>IF('ปฏิทิน'!BA1="","",DAY('ปฏิทิน'!BA1))</f>
        <v/>
      </c>
      <c r="BB6" s="392">
        <f>IF('ปฏิทิน'!BB1="","",DAY('ปฏิทิน'!BB1))</f>
        <v/>
      </c>
      <c r="BC6" s="392">
        <f>IF('ปฏิทิน'!BC1="","",DAY('ปฏิทิน'!BC1))</f>
        <v/>
      </c>
      <c r="BD6" s="392">
        <f>IF('ปฏิทิน'!BD1="","",DAY('ปฏิทิน'!BD1))</f>
        <v/>
      </c>
      <c r="BE6" s="392">
        <f>IF('ปฏิทิน'!BE1="","",DAY('ปฏิทิน'!BE1))</f>
        <v/>
      </c>
      <c r="BF6" s="392">
        <f>IF('ปฏิทิน'!BF1="","",DAY('ปฏิทิน'!BF1))</f>
        <v/>
      </c>
      <c r="BG6" s="392">
        <f>IF('ปฏิทิน'!BG1="","",DAY('ปฏิทิน'!BG1))</f>
        <v/>
      </c>
      <c r="BH6" s="392">
        <f>IF('ปฏิทิน'!BH1="","",DAY('ปฏิทิน'!BH1))</f>
        <v/>
      </c>
      <c r="BI6" s="392">
        <f>IF('ปฏิทิน'!BI1="","",DAY('ปฏิทิน'!BI1))</f>
        <v/>
      </c>
      <c r="BJ6" s="392">
        <f>IF('ปฏิทิน'!BJ1="","",DAY('ปฏิทิน'!BJ1))</f>
        <v/>
      </c>
      <c r="BK6" s="392">
        <f>IF('ปฏิทิน'!BK1="","",DAY('ปฏิทิน'!BK1))</f>
        <v/>
      </c>
      <c r="BL6" s="392">
        <f>IF('ปฏิทิน'!BL1="","",DAY('ปฏิทิน'!BL1))</f>
        <v/>
      </c>
      <c r="BM6" s="392">
        <f>IF('ปฏิทิน'!BM1="","",DAY('ปฏิทิน'!BM1))</f>
        <v/>
      </c>
      <c r="BN6" s="392">
        <f>IF('ปฏิทิน'!BN1="","",DAY('ปฏิทิน'!BN1))</f>
        <v/>
      </c>
      <c r="BO6" s="392">
        <f>IF('ปฏิทิน'!BO1="","",DAY('ปฏิทิน'!BO1))</f>
        <v/>
      </c>
      <c r="BP6" s="392">
        <f>IF('ปฏิทิน'!BP1="","",DAY('ปฏิทิน'!BP1))</f>
        <v/>
      </c>
      <c r="BQ6" s="626" t="inlineStr">
        <is>
          <t>ร่วม</t>
        </is>
      </c>
      <c r="BR6" s="627" t="inlineStr">
        <is>
          <t>ไม่
ร่วม</t>
        </is>
      </c>
      <c r="BS6" s="628" t="inlineStr">
        <is>
          <t>ร้อยละ</t>
        </is>
      </c>
      <c r="BT6" s="625">
        <f>IF('ปฏิทิน'!BT1="","",DAY('ปฏิทิน'!BT1))</f>
        <v/>
      </c>
      <c r="BU6" s="392">
        <f>IF('ปฏิทิน'!BU1="","",DAY('ปฏิทิน'!BU1))</f>
        <v/>
      </c>
      <c r="BV6" s="392">
        <f>IF('ปฏิทิน'!BV1="","",DAY('ปฏิทิน'!BV1))</f>
        <v/>
      </c>
      <c r="BW6" s="392">
        <f>IF('ปฏิทิน'!BW1="","",DAY('ปฏิทิน'!BW1))</f>
        <v/>
      </c>
      <c r="BX6" s="392">
        <f>IF('ปฏิทิน'!BX1="","",DAY('ปฏิทิน'!BX1))</f>
        <v/>
      </c>
      <c r="BY6" s="392">
        <f>IF('ปฏิทิน'!BY1="","",DAY('ปฏิทิน'!BY1))</f>
        <v/>
      </c>
      <c r="BZ6" s="392">
        <f>IF('ปฏิทิน'!BZ1="","",DAY('ปฏิทิน'!BZ1))</f>
        <v/>
      </c>
      <c r="CA6" s="392">
        <f>IF('ปฏิทิน'!CA1="","",DAY('ปฏิทิน'!CA1))</f>
        <v/>
      </c>
      <c r="CB6" s="392">
        <f>IF('ปฏิทิน'!CB1="","",DAY('ปฏิทิน'!CB1))</f>
        <v/>
      </c>
      <c r="CC6" s="392">
        <f>IF('ปฏิทิน'!CC1="","",DAY('ปฏิทิน'!CC1))</f>
        <v/>
      </c>
      <c r="CD6" s="392">
        <f>IF('ปฏิทิน'!CD1="","",DAY('ปฏิทิน'!CD1))</f>
        <v/>
      </c>
      <c r="CE6" s="392">
        <f>IF('ปฏิทิน'!CE1="","",DAY('ปฏิทิน'!CE1))</f>
        <v/>
      </c>
      <c r="CF6" s="392">
        <f>IF('ปฏิทิน'!CF1="","",DAY('ปฏิทิน'!CF1))</f>
        <v/>
      </c>
      <c r="CG6" s="392">
        <f>IF('ปฏิทิน'!CG1="","",DAY('ปฏิทิน'!CG1))</f>
        <v/>
      </c>
      <c r="CH6" s="392">
        <f>IF('ปฏิทิน'!CH1="","",DAY('ปฏิทิน'!CH1))</f>
        <v/>
      </c>
      <c r="CI6" s="392">
        <f>IF('ปฏิทิน'!CI1="","",DAY('ปฏิทิน'!CI1))</f>
        <v/>
      </c>
      <c r="CJ6" s="392">
        <f>IF('ปฏิทิน'!CJ1="","",DAY('ปฏิทิน'!CJ1))</f>
        <v/>
      </c>
      <c r="CK6" s="392">
        <f>IF('ปฏิทิน'!CK1="","",DAY('ปฏิทิน'!CK1))</f>
        <v/>
      </c>
      <c r="CL6" s="392">
        <f>IF('ปฏิทิน'!CL1="","",DAY('ปฏิทิน'!CL1))</f>
        <v/>
      </c>
      <c r="CM6" s="392">
        <f>IF('ปฏิทิน'!CM1="","",DAY('ปฏิทิน'!CM1))</f>
        <v/>
      </c>
      <c r="CN6" s="392">
        <f>IF('ปฏิทิน'!CN1="","",DAY('ปฏิทิน'!CN1))</f>
        <v/>
      </c>
      <c r="CO6" s="392">
        <f>IF('ปฏิทิน'!CO1="","",DAY('ปฏิทิน'!CO1))</f>
        <v/>
      </c>
      <c r="CP6" s="392">
        <f>IF('ปฏิทิน'!CP1="","",DAY('ปฏิทิน'!CP1))</f>
        <v/>
      </c>
      <c r="CQ6" s="392">
        <f>IF('ปฏิทิน'!CQ1="","",DAY('ปฏิทิน'!CQ1))</f>
        <v/>
      </c>
      <c r="CR6" s="392">
        <f>IF('ปฏิทิน'!CR1="","",DAY('ปฏิทิน'!CR1))</f>
        <v/>
      </c>
      <c r="CS6" s="392">
        <f>IF('ปฏิทิน'!CS1="","",DAY('ปฏิทิน'!CS1))</f>
        <v/>
      </c>
      <c r="CT6" s="392">
        <f>IF('ปฏิทิน'!CT1="","",DAY('ปฏิทิน'!CT1))</f>
        <v/>
      </c>
      <c r="CU6" s="392">
        <f>IF('ปฏิทิน'!CU1="","",DAY('ปฏิทิน'!CU1))</f>
        <v/>
      </c>
      <c r="CV6" s="392">
        <f>IF('ปฏิทิน'!CV1="","",DAY('ปฏิทิน'!CV1))</f>
        <v/>
      </c>
      <c r="CW6" s="392">
        <f>IF('ปฏิทิน'!CW1="","",DAY('ปฏิทิน'!CW1))</f>
        <v/>
      </c>
      <c r="CX6" s="392">
        <f>IF('ปฏิทิน'!CX1="","",DAY('ปฏิทิน'!CX1))</f>
        <v/>
      </c>
      <c r="CY6" s="626" t="inlineStr">
        <is>
          <t>ร่วม</t>
        </is>
      </c>
      <c r="CZ6" s="627" t="inlineStr">
        <is>
          <t>ไม่
ร่วม</t>
        </is>
      </c>
      <c r="DA6" s="628" t="inlineStr">
        <is>
          <t>ร้อยละ</t>
        </is>
      </c>
      <c r="DB6" s="625">
        <f>IF('ปฏิทิน'!DB1="","",DAY('ปฏิทิน'!DB1))</f>
        <v/>
      </c>
      <c r="DC6" s="392">
        <f>IF('ปฏิทิน'!DC1="","",DAY('ปฏิทิน'!DC1))</f>
        <v/>
      </c>
      <c r="DD6" s="392">
        <f>IF('ปฏิทิน'!DD1="","",DAY('ปฏิทิน'!DD1))</f>
        <v/>
      </c>
      <c r="DE6" s="392">
        <f>IF('ปฏิทิน'!DE1="","",DAY('ปฏิทิน'!DE1))</f>
        <v/>
      </c>
      <c r="DF6" s="392">
        <f>IF('ปฏิทิน'!DF1="","",DAY('ปฏิทิน'!DF1))</f>
        <v/>
      </c>
      <c r="DG6" s="392">
        <f>IF('ปฏิทิน'!DG1="","",DAY('ปฏิทิน'!DG1))</f>
        <v/>
      </c>
      <c r="DH6" s="392">
        <f>IF('ปฏิทิน'!DH1="","",DAY('ปฏิทิน'!DH1))</f>
        <v/>
      </c>
      <c r="DI6" s="392">
        <f>IF('ปฏิทิน'!DI1="","",DAY('ปฏิทิน'!DI1))</f>
        <v/>
      </c>
      <c r="DJ6" s="392">
        <f>IF('ปฏิทิน'!DJ1="","",DAY('ปฏิทิน'!DJ1))</f>
        <v/>
      </c>
      <c r="DK6" s="392">
        <f>IF('ปฏิทิน'!DK1="","",DAY('ปฏิทิน'!DK1))</f>
        <v/>
      </c>
      <c r="DL6" s="392">
        <f>IF('ปฏิทิน'!DL1="","",DAY('ปฏิทิน'!DL1))</f>
        <v/>
      </c>
      <c r="DM6" s="392">
        <f>IF('ปฏิทิน'!DM1="","",DAY('ปฏิทิน'!DM1))</f>
        <v/>
      </c>
      <c r="DN6" s="392">
        <f>IF('ปฏิทิน'!DN1="","",DAY('ปฏิทิน'!DN1))</f>
        <v/>
      </c>
      <c r="DO6" s="392">
        <f>IF('ปฏิทิน'!DO1="","",DAY('ปฏิทิน'!DO1))</f>
        <v/>
      </c>
      <c r="DP6" s="392">
        <f>IF('ปฏิทิน'!DP1="","",DAY('ปฏิทิน'!DP1))</f>
        <v/>
      </c>
      <c r="DQ6" s="392">
        <f>IF('ปฏิทิน'!DQ1="","",DAY('ปฏิทิน'!DQ1))</f>
        <v/>
      </c>
      <c r="DR6" s="392">
        <f>IF('ปฏิทิน'!DR1="","",DAY('ปฏิทิน'!DR1))</f>
        <v/>
      </c>
      <c r="DS6" s="392">
        <f>IF('ปฏิทิน'!DS1="","",DAY('ปฏิทิน'!DS1))</f>
        <v/>
      </c>
      <c r="DT6" s="392">
        <f>IF('ปฏิทิน'!DT1="","",DAY('ปฏิทิน'!DT1))</f>
        <v/>
      </c>
      <c r="DU6" s="392">
        <f>IF('ปฏิทิน'!DU1="","",DAY('ปฏิทิน'!DU1))</f>
        <v/>
      </c>
      <c r="DV6" s="392">
        <f>IF('ปฏิทิน'!DV1="","",DAY('ปฏิทิน'!DV1))</f>
        <v/>
      </c>
      <c r="DW6" s="392">
        <f>IF('ปฏิทิน'!DW1="","",DAY('ปฏิทิน'!DW1))</f>
        <v/>
      </c>
      <c r="DX6" s="392">
        <f>IF('ปฏิทิน'!DX1="","",DAY('ปฏิทิน'!DX1))</f>
        <v/>
      </c>
      <c r="DY6" s="392">
        <f>IF('ปฏิทิน'!DY1="","",DAY('ปฏิทิน'!DY1))</f>
        <v/>
      </c>
      <c r="DZ6" s="392">
        <f>IF('ปฏิทิน'!DZ1="","",DAY('ปฏิทิน'!DZ1))</f>
        <v/>
      </c>
      <c r="EA6" s="392">
        <f>IF('ปฏิทิน'!EA1="","",DAY('ปฏิทิน'!EA1))</f>
        <v/>
      </c>
      <c r="EB6" s="392">
        <f>IF('ปฏิทิน'!EB1="","",DAY('ปฏิทิน'!EB1))</f>
        <v/>
      </c>
      <c r="EC6" s="392">
        <f>IF('ปฏิทิน'!EC1="","",DAY('ปฏิทิน'!EC1))</f>
        <v/>
      </c>
      <c r="ED6" s="392">
        <f>IF('ปฏิทิน'!ED1="","",DAY('ปฏิทิน'!ED1))</f>
        <v/>
      </c>
      <c r="EE6" s="392">
        <f>IF('ปฏิทิน'!EE1="","",DAY('ปฏิทิน'!EE1))</f>
        <v/>
      </c>
      <c r="EF6" s="392">
        <f>IF('ปฏิทิน'!EF1="","",DAY('ปฏิทิน'!EF1))</f>
        <v/>
      </c>
      <c r="EG6" s="626" t="inlineStr">
        <is>
          <t>ร่วม</t>
        </is>
      </c>
      <c r="EH6" s="627" t="inlineStr">
        <is>
          <t>ไม่
ร่วม</t>
        </is>
      </c>
      <c r="EI6" s="628" t="inlineStr">
        <is>
          <t>ร้อยละ</t>
        </is>
      </c>
      <c r="EJ6" s="625">
        <f>IF('ปฏิทิน'!EJ1="","",DAY('ปฏิทิน'!EJ1))</f>
        <v/>
      </c>
      <c r="EK6" s="392">
        <f>IF('ปฏิทิน'!EK1="","",DAY('ปฏิทิน'!EK1))</f>
        <v/>
      </c>
      <c r="EL6" s="392">
        <f>IF('ปฏิทิน'!EL1="","",DAY('ปฏิทิน'!EL1))</f>
        <v/>
      </c>
      <c r="EM6" s="392">
        <f>IF('ปฏิทิน'!EM1="","",DAY('ปฏิทิน'!EM1))</f>
        <v/>
      </c>
      <c r="EN6" s="392">
        <f>IF('ปฏิทิน'!EN1="","",DAY('ปฏิทิน'!EN1))</f>
        <v/>
      </c>
      <c r="EO6" s="392">
        <f>IF('ปฏิทิน'!EO1="","",DAY('ปฏิทิน'!EO1))</f>
        <v/>
      </c>
      <c r="EP6" s="392">
        <f>IF('ปฏิทิน'!EP1="","",DAY('ปฏิทิน'!EP1))</f>
        <v/>
      </c>
      <c r="EQ6" s="392">
        <f>IF('ปฏิทิน'!EQ1="","",DAY('ปฏิทิน'!EQ1))</f>
        <v/>
      </c>
      <c r="ER6" s="392">
        <f>IF('ปฏิทิน'!ER1="","",DAY('ปฏิทิน'!ER1))</f>
        <v/>
      </c>
      <c r="ES6" s="392">
        <f>IF('ปฏิทิน'!ES1="","",DAY('ปฏิทิน'!ES1))</f>
        <v/>
      </c>
      <c r="ET6" s="392">
        <f>IF('ปฏิทิน'!ET1="","",DAY('ปฏิทิน'!ET1))</f>
        <v/>
      </c>
      <c r="EU6" s="392">
        <f>IF('ปฏิทิน'!EU1="","",DAY('ปฏิทิน'!EU1))</f>
        <v/>
      </c>
      <c r="EV6" s="392">
        <f>IF('ปฏิทิน'!EV1="","",DAY('ปฏิทิน'!EV1))</f>
        <v/>
      </c>
      <c r="EW6" s="392">
        <f>IF('ปฏิทิน'!EW1="","",DAY('ปฏิทิน'!EW1))</f>
        <v/>
      </c>
      <c r="EX6" s="392">
        <f>IF('ปฏิทิน'!EX1="","",DAY('ปฏิทิน'!EX1))</f>
        <v/>
      </c>
      <c r="EY6" s="392">
        <f>IF('ปฏิทิน'!EY1="","",DAY('ปฏิทิน'!EY1))</f>
        <v/>
      </c>
      <c r="EZ6" s="392">
        <f>IF('ปฏิทิน'!EZ1="","",DAY('ปฏิทิน'!EZ1))</f>
        <v/>
      </c>
      <c r="FA6" s="392">
        <f>IF('ปฏิทิน'!FA1="","",DAY('ปฏิทิน'!FA1))</f>
        <v/>
      </c>
      <c r="FB6" s="392">
        <f>IF('ปฏิทิน'!FB1="","",DAY('ปฏิทิน'!FB1))</f>
        <v/>
      </c>
      <c r="FC6" s="392">
        <f>IF('ปฏิทิน'!FC1="","",DAY('ปฏิทิน'!FC1))</f>
        <v/>
      </c>
      <c r="FD6" s="392">
        <f>IF('ปฏิทิน'!FD1="","",DAY('ปฏิทิน'!FD1))</f>
        <v/>
      </c>
      <c r="FE6" s="392">
        <f>IF('ปฏิทิน'!FE1="","",DAY('ปฏิทิน'!FE1))</f>
        <v/>
      </c>
      <c r="FF6" s="392">
        <f>IF('ปฏิทิน'!FF1="","",DAY('ปฏิทิน'!FF1))</f>
        <v/>
      </c>
      <c r="FG6" s="392">
        <f>IF('ปฏิทิน'!FG1="","",DAY('ปฏิทิน'!FG1))</f>
        <v/>
      </c>
      <c r="FH6" s="392">
        <f>IF('ปฏิทิน'!FH1="","",DAY('ปฏิทิน'!FH1))</f>
        <v/>
      </c>
      <c r="FI6" s="392">
        <f>IF('ปฏิทิน'!FI1="","",DAY('ปฏิทิน'!FI1))</f>
        <v/>
      </c>
      <c r="FJ6" s="392">
        <f>IF('ปฏิทิน'!FJ1="","",DAY('ปฏิทิน'!FJ1))</f>
        <v/>
      </c>
      <c r="FK6" s="392">
        <f>IF('ปฏิทิน'!FK1="","",DAY('ปฏิทิน'!FK1))</f>
        <v/>
      </c>
      <c r="FL6" s="392">
        <f>IF('ปฏิทิน'!FL1="","",DAY('ปฏิทิน'!FL1))</f>
        <v/>
      </c>
      <c r="FM6" s="392">
        <f>IF('ปฏิทิน'!FM1="","",DAY('ปฏิทิน'!FM1))</f>
        <v/>
      </c>
      <c r="FN6" s="392">
        <f>IF('ปฏิทิน'!FN1="","",DAY('ปฏิทิน'!FN1))</f>
        <v/>
      </c>
      <c r="FO6" s="626" t="inlineStr">
        <is>
          <t>ร่วม</t>
        </is>
      </c>
      <c r="FP6" s="627" t="inlineStr">
        <is>
          <t>ไม่
ร่วม</t>
        </is>
      </c>
      <c r="FQ6" s="628" t="inlineStr">
        <is>
          <t>ร้อยละ</t>
        </is>
      </c>
      <c r="FR6" s="625">
        <f>IF('ปฏิทิน'!FR1="","",DAY('ปฏิทิน'!FR1))</f>
        <v/>
      </c>
      <c r="FS6" s="392">
        <f>IF('ปฏิทิน'!FS1="","",DAY('ปฏิทิน'!FS1))</f>
        <v/>
      </c>
      <c r="FT6" s="392">
        <f>IF('ปฏิทิน'!FT1="","",DAY('ปฏิทิน'!FT1))</f>
        <v/>
      </c>
      <c r="FU6" s="392">
        <f>IF('ปฏิทิน'!FU1="","",DAY('ปฏิทิน'!FU1))</f>
        <v/>
      </c>
      <c r="FV6" s="392">
        <f>IF('ปฏิทิน'!FV1="","",DAY('ปฏิทิน'!FV1))</f>
        <v/>
      </c>
      <c r="FW6" s="392">
        <f>IF('ปฏิทิน'!FW1="","",DAY('ปฏิทิน'!FW1))</f>
        <v/>
      </c>
      <c r="FX6" s="392">
        <f>IF('ปฏิทิน'!FX1="","",DAY('ปฏิทิน'!FX1))</f>
        <v/>
      </c>
      <c r="FY6" s="392">
        <f>IF('ปฏิทิน'!FY1="","",DAY('ปฏิทิน'!FY1))</f>
        <v/>
      </c>
      <c r="FZ6" s="392">
        <f>IF('ปฏิทิน'!FZ1="","",DAY('ปฏิทิน'!FZ1))</f>
        <v/>
      </c>
      <c r="GA6" s="392">
        <f>IF('ปฏิทิน'!GA1="","",DAY('ปฏิทิน'!GA1))</f>
        <v/>
      </c>
      <c r="GB6" s="392">
        <f>IF('ปฏิทิน'!GB1="","",DAY('ปฏิทิน'!GB1))</f>
        <v/>
      </c>
      <c r="GC6" s="392">
        <f>IF('ปฏิทิน'!GC1="","",DAY('ปฏิทิน'!GC1))</f>
        <v/>
      </c>
      <c r="GD6" s="392">
        <f>IF('ปฏิทิน'!GD1="","",DAY('ปฏิทิน'!GD1))</f>
        <v/>
      </c>
      <c r="GE6" s="392">
        <f>IF('ปฏิทิน'!GE1="","",DAY('ปฏิทิน'!GE1))</f>
        <v/>
      </c>
      <c r="GF6" s="392">
        <f>IF('ปฏิทิน'!GF1="","",DAY('ปฏิทิน'!GF1))</f>
        <v/>
      </c>
      <c r="GG6" s="392">
        <f>IF('ปฏิทิน'!GG1="","",DAY('ปฏิทิน'!GG1))</f>
        <v/>
      </c>
      <c r="GH6" s="392">
        <f>IF('ปฏิทิน'!GH1="","",DAY('ปฏิทิน'!GH1))</f>
        <v/>
      </c>
      <c r="GI6" s="392">
        <f>IF('ปฏิทิน'!GI1="","",DAY('ปฏิทิน'!GI1))</f>
        <v/>
      </c>
      <c r="GJ6" s="392">
        <f>IF('ปฏิทิน'!GJ1="","",DAY('ปฏิทิน'!GJ1))</f>
        <v/>
      </c>
      <c r="GK6" s="392">
        <f>IF('ปฏิทิน'!GK1="","",DAY('ปฏิทิน'!GK1))</f>
        <v/>
      </c>
      <c r="GL6" s="392">
        <f>IF('ปฏิทิน'!GL1="","",DAY('ปฏิทิน'!GL1))</f>
        <v/>
      </c>
      <c r="GM6" s="392">
        <f>IF('ปฏิทิน'!GM1="","",DAY('ปฏิทิน'!GM1))</f>
        <v/>
      </c>
      <c r="GN6" s="392">
        <f>IF('ปฏิทิน'!GN1="","",DAY('ปฏิทิน'!GN1))</f>
        <v/>
      </c>
      <c r="GO6" s="392">
        <f>IF('ปฏิทิน'!GO1="","",DAY('ปฏิทิน'!GO1))</f>
        <v/>
      </c>
      <c r="GP6" s="392">
        <f>IF('ปฏิทิน'!GP1="","",DAY('ปฏิทิน'!GP1))</f>
        <v/>
      </c>
      <c r="GQ6" s="392">
        <f>IF('ปฏิทิน'!GQ1="","",DAY('ปฏิทิน'!GQ1))</f>
        <v/>
      </c>
      <c r="GR6" s="392">
        <f>IF('ปฏิทิน'!GR1="","",DAY('ปฏิทิน'!GR1))</f>
        <v/>
      </c>
      <c r="GS6" s="392">
        <f>IF('ปฏิทิน'!GS1="","",DAY('ปฏิทิน'!GS1))</f>
        <v/>
      </c>
      <c r="GT6" s="392">
        <f>IF('ปฏิทิน'!GT1="","",DAY('ปฏิทิน'!GT1))</f>
        <v/>
      </c>
      <c r="GU6" s="392">
        <f>IF('ปฏิทิน'!GU1="","",DAY('ปฏิทิน'!GU1))</f>
        <v/>
      </c>
      <c r="GV6" s="392">
        <f>IF('ปฏิทิน'!GV1="","",DAY('ปฏิทิน'!GV1))</f>
        <v/>
      </c>
      <c r="GW6" s="626" t="inlineStr">
        <is>
          <t>ร่วม</t>
        </is>
      </c>
      <c r="GX6" s="627" t="inlineStr">
        <is>
          <t>ไม่
ร่วม</t>
        </is>
      </c>
      <c r="GY6" s="628" t="inlineStr">
        <is>
          <t>ร้อยละ</t>
        </is>
      </c>
    </row>
    <row r="7">
      <c r="D7" s="629">
        <f>IF('ปฏิทิน'!D1="","",CHOOSE(WEEKDAY('ปฏิทิน'!D1,2),"จ.","อ.","พ.","พฤ.","ศ.","ส.","อา."))</f>
        <v/>
      </c>
      <c r="E7" s="630">
        <f>IF('ปฏิทิน'!E1="","",CHOOSE(WEEKDAY('ปฏิทิน'!E1,2),"จ.","อ.","พ.","พฤ.","ศ.","ส.","อา."))</f>
        <v/>
      </c>
      <c r="F7" s="630">
        <f>IF('ปฏิทิน'!F1="","",CHOOSE(WEEKDAY('ปฏิทิน'!F1,2),"จ.","อ.","พ.","พฤ.","ศ.","ส.","อา."))</f>
        <v/>
      </c>
      <c r="G7" s="630">
        <f>IF('ปฏิทิน'!G1="","",CHOOSE(WEEKDAY('ปฏิทิน'!G1,2),"จ.","อ.","พ.","พฤ.","ศ.","ส.","อา."))</f>
        <v/>
      </c>
      <c r="H7" s="630">
        <f>IF('ปฏิทิน'!H1="","",CHOOSE(WEEKDAY('ปฏิทิน'!H1,2),"จ.","อ.","พ.","พฤ.","ศ.","ส.","อา."))</f>
        <v/>
      </c>
      <c r="I7" s="630">
        <f>IF('ปฏิทิน'!I1="","",CHOOSE(WEEKDAY('ปฏิทิน'!I1,2),"จ.","อ.","พ.","พฤ.","ศ.","ส.","อา."))</f>
        <v/>
      </c>
      <c r="J7" s="630">
        <f>IF('ปฏิทิน'!J1="","",CHOOSE(WEEKDAY('ปฏิทิน'!J1,2),"จ.","อ.","พ.","พฤ.","ศ.","ส.","อา."))</f>
        <v/>
      </c>
      <c r="K7" s="630">
        <f>IF('ปฏิทิน'!K1="","",CHOOSE(WEEKDAY('ปฏิทิน'!K1,2),"จ.","อ.","พ.","พฤ.","ศ.","ส.","อา."))</f>
        <v/>
      </c>
      <c r="L7" s="630">
        <f>IF('ปฏิทิน'!L1="","",CHOOSE(WEEKDAY('ปฏิทิน'!L1,2),"จ.","อ.","พ.","พฤ.","ศ.","ส.","อา."))</f>
        <v/>
      </c>
      <c r="M7" s="630">
        <f>IF('ปฏิทิน'!M1="","",CHOOSE(WEEKDAY('ปฏิทิน'!M1,2),"จ.","อ.","พ.","พฤ.","ศ.","ส.","อา."))</f>
        <v/>
      </c>
      <c r="N7" s="630">
        <f>IF('ปฏิทิน'!N1="","",CHOOSE(WEEKDAY('ปฏิทิน'!N1,2),"จ.","อ.","พ.","พฤ.","ศ.","ส.","อา."))</f>
        <v/>
      </c>
      <c r="O7" s="630">
        <f>IF('ปฏิทิน'!O1="","",CHOOSE(WEEKDAY('ปฏิทิน'!O1,2),"จ.","อ.","พ.","พฤ.","ศ.","ส.","อา."))</f>
        <v/>
      </c>
      <c r="P7" s="630">
        <f>IF('ปฏิทิน'!P1="","",CHOOSE(WEEKDAY('ปฏิทิน'!P1,2),"จ.","อ.","พ.","พฤ.","ศ.","ส.","อา."))</f>
        <v/>
      </c>
      <c r="Q7" s="630">
        <f>IF('ปฏิทิน'!Q1="","",CHOOSE(WEEKDAY('ปฏิทิน'!Q1,2),"จ.","อ.","พ.","พฤ.","ศ.","ส.","อา."))</f>
        <v/>
      </c>
      <c r="R7" s="630">
        <f>IF('ปฏิทิน'!R1="","",CHOOSE(WEEKDAY('ปฏิทิน'!R1,2),"จ.","อ.","พ.","พฤ.","ศ.","ส.","อา."))</f>
        <v/>
      </c>
      <c r="S7" s="630">
        <f>IF('ปฏิทิน'!S1="","",CHOOSE(WEEKDAY('ปฏิทิน'!S1,2),"จ.","อ.","พ.","พฤ.","ศ.","ส.","อา."))</f>
        <v/>
      </c>
      <c r="T7" s="630">
        <f>IF('ปฏิทิน'!T1="","",CHOOSE(WEEKDAY('ปฏิทิน'!T1,2),"จ.","อ.","พ.","พฤ.","ศ.","ส.","อา."))</f>
        <v/>
      </c>
      <c r="U7" s="630">
        <f>IF('ปฏิทิน'!U1="","",CHOOSE(WEEKDAY('ปฏิทิน'!U1,2),"จ.","อ.","พ.","พฤ.","ศ.","ส.","อา."))</f>
        <v/>
      </c>
      <c r="V7" s="630">
        <f>IF('ปฏิทิน'!V1="","",CHOOSE(WEEKDAY('ปฏิทิน'!V1,2),"จ.","อ.","พ.","พฤ.","ศ.","ส.","อา."))</f>
        <v/>
      </c>
      <c r="W7" s="630">
        <f>IF('ปฏิทิน'!W1="","",CHOOSE(WEEKDAY('ปฏิทิน'!W1,2),"จ.","อ.","พ.","พฤ.","ศ.","ส.","อา."))</f>
        <v/>
      </c>
      <c r="X7" s="630">
        <f>IF('ปฏิทิน'!X1="","",CHOOSE(WEEKDAY('ปฏิทิน'!X1,2),"จ.","อ.","พ.","พฤ.","ศ.","ส.","อา."))</f>
        <v/>
      </c>
      <c r="Y7" s="630">
        <f>IF('ปฏิทิน'!Y1="","",CHOOSE(WEEKDAY('ปฏิทิน'!Y1,2),"จ.","อ.","พ.","พฤ.","ศ.","ส.","อา."))</f>
        <v/>
      </c>
      <c r="Z7" s="630">
        <f>IF('ปฏิทิน'!Z1="","",CHOOSE(WEEKDAY('ปฏิทิน'!Z1,2),"จ.","อ.","พ.","พฤ.","ศ.","ส.","อา."))</f>
        <v/>
      </c>
      <c r="AA7" s="630">
        <f>IF('ปฏิทิน'!AA1="","",CHOOSE(WEEKDAY('ปฏิทิน'!AA1,2),"จ.","อ.","พ.","พฤ.","ศ.","ส.","อา."))</f>
        <v/>
      </c>
      <c r="AB7" s="630">
        <f>IF('ปฏิทิน'!AB1="","",CHOOSE(WEEKDAY('ปฏิทิน'!AB1,2),"จ.","อ.","พ.","พฤ.","ศ.","ส.","อา."))</f>
        <v/>
      </c>
      <c r="AC7" s="630">
        <f>IF('ปฏิทิน'!AC1="","",CHOOSE(WEEKDAY('ปฏิทิน'!AC1,2),"จ.","อ.","พ.","พฤ.","ศ.","ส.","อา."))</f>
        <v/>
      </c>
      <c r="AD7" s="630">
        <f>IF('ปฏิทิน'!AD1="","",CHOOSE(WEEKDAY('ปฏิทิน'!AD1,2),"จ.","อ.","พ.","พฤ.","ศ.","ส.","อา."))</f>
        <v/>
      </c>
      <c r="AE7" s="630">
        <f>IF('ปฏิทิน'!AE1="","",CHOOSE(WEEKDAY('ปฏิทิน'!AE1,2),"จ.","อ.","พ.","พฤ.","ศ.","ส.","อา."))</f>
        <v/>
      </c>
      <c r="AF7" s="630">
        <f>IF('ปฏิทิน'!AF1="","",CHOOSE(WEEKDAY('ปฏิทิน'!AF1,2),"จ.","อ.","พ.","พฤ.","ศ.","ส.","อา."))</f>
        <v/>
      </c>
      <c r="AG7" s="630">
        <f>IF('ปฏิทิน'!AG1="","",CHOOSE(WEEKDAY('ปฏิทิน'!AG1,2),"จ.","อ.","พ.","พฤ.","ศ.","ส.","อา."))</f>
        <v/>
      </c>
      <c r="AH7" s="630">
        <f>IF('ปฏิทิน'!AH1="","",CHOOSE(WEEKDAY('ปฏิทิน'!AH1,2),"จ.","อ.","พ.","พฤ.","ศ.","ส.","อา."))</f>
        <v/>
      </c>
      <c r="AI7" s="631" t="n"/>
      <c r="AL7" s="629">
        <f>IF('ปฏิทิน'!AL1="","",CHOOSE(WEEKDAY('ปฏิทิน'!AL1,2),"จ.","อ.","พ.","พฤ.","ศ.","ส.","อา."))</f>
        <v/>
      </c>
      <c r="AM7" s="630">
        <f>IF('ปฏิทิน'!AM1="","",CHOOSE(WEEKDAY('ปฏิทิน'!AM1,2),"จ.","อ.","พ.","พฤ.","ศ.","ส.","อา."))</f>
        <v/>
      </c>
      <c r="AN7" s="630">
        <f>IF('ปฏิทิน'!AN1="","",CHOOSE(WEEKDAY('ปฏิทิน'!AN1,2),"จ.","อ.","พ.","พฤ.","ศ.","ส.","อา."))</f>
        <v/>
      </c>
      <c r="AO7" s="630">
        <f>IF('ปฏิทิน'!AO1="","",CHOOSE(WEEKDAY('ปฏิทิน'!AO1,2),"จ.","อ.","พ.","พฤ.","ศ.","ส.","อา."))</f>
        <v/>
      </c>
      <c r="AP7" s="630">
        <f>IF('ปฏิทิน'!AP1="","",CHOOSE(WEEKDAY('ปฏิทิน'!AP1,2),"จ.","อ.","พ.","พฤ.","ศ.","ส.","อา."))</f>
        <v/>
      </c>
      <c r="AQ7" s="630">
        <f>IF('ปฏิทิน'!AQ1="","",CHOOSE(WEEKDAY('ปฏิทิน'!AQ1,2),"จ.","อ.","พ.","พฤ.","ศ.","ส.","อา."))</f>
        <v/>
      </c>
      <c r="AR7" s="630">
        <f>IF('ปฏิทิน'!AR1="","",CHOOSE(WEEKDAY('ปฏิทิน'!AR1,2),"จ.","อ.","พ.","พฤ.","ศ.","ส.","อา."))</f>
        <v/>
      </c>
      <c r="AS7" s="630">
        <f>IF('ปฏิทิน'!AS1="","",CHOOSE(WEEKDAY('ปฏิทิน'!AS1,2),"จ.","อ.","พ.","พฤ.","ศ.","ส.","อา."))</f>
        <v/>
      </c>
      <c r="AT7" s="630">
        <f>IF('ปฏิทิน'!AT1="","",CHOOSE(WEEKDAY('ปฏิทิน'!AT1,2),"จ.","อ.","พ.","พฤ.","ศ.","ส.","อา."))</f>
        <v/>
      </c>
      <c r="AU7" s="630">
        <f>IF('ปฏิทิน'!AU1="","",CHOOSE(WEEKDAY('ปฏิทิน'!AU1,2),"จ.","อ.","พ.","พฤ.","ศ.","ส.","อา."))</f>
        <v/>
      </c>
      <c r="AV7" s="630">
        <f>IF('ปฏิทิน'!AV1="","",CHOOSE(WEEKDAY('ปฏิทิน'!AV1,2),"จ.","อ.","พ.","พฤ.","ศ.","ส.","อา."))</f>
        <v/>
      </c>
      <c r="AW7" s="630">
        <f>IF('ปฏิทิน'!AW1="","",CHOOSE(WEEKDAY('ปฏิทิน'!AW1,2),"จ.","อ.","พ.","พฤ.","ศ.","ส.","อา."))</f>
        <v/>
      </c>
      <c r="AX7" s="630">
        <f>IF('ปฏิทิน'!AX1="","",CHOOSE(WEEKDAY('ปฏิทิน'!AX1,2),"จ.","อ.","พ.","พฤ.","ศ.","ส.","อา."))</f>
        <v/>
      </c>
      <c r="AY7" s="630">
        <f>IF('ปฏิทิน'!AY1="","",CHOOSE(WEEKDAY('ปฏิทิน'!AY1,2),"จ.","อ.","พ.","พฤ.","ศ.","ส.","อา."))</f>
        <v/>
      </c>
      <c r="AZ7" s="630">
        <f>IF('ปฏิทิน'!AZ1="","",CHOOSE(WEEKDAY('ปฏิทิน'!AZ1,2),"จ.","อ.","พ.","พฤ.","ศ.","ส.","อา."))</f>
        <v/>
      </c>
      <c r="BA7" s="630">
        <f>IF('ปฏิทิน'!BA1="","",CHOOSE(WEEKDAY('ปฏิทิน'!BA1,2),"จ.","อ.","พ.","พฤ.","ศ.","ส.","อา."))</f>
        <v/>
      </c>
      <c r="BB7" s="630">
        <f>IF('ปฏิทิน'!BB1="","",CHOOSE(WEEKDAY('ปฏิทิน'!BB1,2),"จ.","อ.","พ.","พฤ.","ศ.","ส.","อา."))</f>
        <v/>
      </c>
      <c r="BC7" s="630">
        <f>IF('ปฏิทิน'!BC1="","",CHOOSE(WEEKDAY('ปฏิทิน'!BC1,2),"จ.","อ.","พ.","พฤ.","ศ.","ส.","อา."))</f>
        <v/>
      </c>
      <c r="BD7" s="630">
        <f>IF('ปฏิทิน'!BD1="","",CHOOSE(WEEKDAY('ปฏิทิน'!BD1,2),"จ.","อ.","พ.","พฤ.","ศ.","ส.","อา."))</f>
        <v/>
      </c>
      <c r="BE7" s="630">
        <f>IF('ปฏิทิน'!BE1="","",CHOOSE(WEEKDAY('ปฏิทิน'!BE1,2),"จ.","อ.","พ.","พฤ.","ศ.","ส.","อา."))</f>
        <v/>
      </c>
      <c r="BF7" s="630">
        <f>IF('ปฏิทิน'!BF1="","",CHOOSE(WEEKDAY('ปฏิทิน'!BF1,2),"จ.","อ.","พ.","พฤ.","ศ.","ส.","อา."))</f>
        <v/>
      </c>
      <c r="BG7" s="630">
        <f>IF('ปฏิทิน'!BG1="","",CHOOSE(WEEKDAY('ปฏิทิน'!BG1,2),"จ.","อ.","พ.","พฤ.","ศ.","ส.","อา."))</f>
        <v/>
      </c>
      <c r="BH7" s="630">
        <f>IF('ปฏิทิน'!BH1="","",CHOOSE(WEEKDAY('ปฏิทิน'!BH1,2),"จ.","อ.","พ.","พฤ.","ศ.","ส.","อา."))</f>
        <v/>
      </c>
      <c r="BI7" s="630">
        <f>IF('ปฏิทิน'!BI1="","",CHOOSE(WEEKDAY('ปฏิทิน'!BI1,2),"จ.","อ.","พ.","พฤ.","ศ.","ส.","อา."))</f>
        <v/>
      </c>
      <c r="BJ7" s="630">
        <f>IF('ปฏิทิน'!BJ1="","",CHOOSE(WEEKDAY('ปฏิทิน'!BJ1,2),"จ.","อ.","พ.","พฤ.","ศ.","ส.","อา."))</f>
        <v/>
      </c>
      <c r="BK7" s="630">
        <f>IF('ปฏิทิน'!BK1="","",CHOOSE(WEEKDAY('ปฏิทิน'!BK1,2),"จ.","อ.","พ.","พฤ.","ศ.","ส.","อา."))</f>
        <v/>
      </c>
      <c r="BL7" s="630">
        <f>IF('ปฏิทิน'!BL1="","",CHOOSE(WEEKDAY('ปฏิทิน'!BL1,2),"จ.","อ.","พ.","พฤ.","ศ.","ส.","อา."))</f>
        <v/>
      </c>
      <c r="BM7" s="630">
        <f>IF('ปฏิทิน'!BM1="","",CHOOSE(WEEKDAY('ปฏิทิน'!BM1,2),"จ.","อ.","พ.","พฤ.","ศ.","ส.","อา."))</f>
        <v/>
      </c>
      <c r="BN7" s="630">
        <f>IF('ปฏิทิน'!BN1="","",CHOOSE(WEEKDAY('ปฏิทิน'!BN1,2),"จ.","อ.","พ.","พฤ.","ศ.","ส.","อา."))</f>
        <v/>
      </c>
      <c r="BO7" s="630">
        <f>IF('ปฏิทิน'!BO1="","",CHOOSE(WEEKDAY('ปฏิทิน'!BO1,2),"จ.","อ.","พ.","พฤ.","ศ.","ส.","อา."))</f>
        <v/>
      </c>
      <c r="BP7" s="630">
        <f>IF('ปฏิทิน'!BP1="","",CHOOSE(WEEKDAY('ปฏิทิน'!BP1,2),"จ.","อ.","พ.","พฤ.","ศ.","ส.","อา."))</f>
        <v/>
      </c>
      <c r="BQ7" s="631" t="n"/>
      <c r="BT7" s="629">
        <f>IF('ปฏิทิน'!BT1="","",CHOOSE(WEEKDAY('ปฏิทิน'!BT1,2),"จ.","อ.","พ.","พฤ.","ศ.","ส.","อา."))</f>
        <v/>
      </c>
      <c r="BU7" s="630">
        <f>IF('ปฏิทิน'!BU1="","",CHOOSE(WEEKDAY('ปฏิทิน'!BU1,2),"จ.","อ.","พ.","พฤ.","ศ.","ส.","อา."))</f>
        <v/>
      </c>
      <c r="BV7" s="630">
        <f>IF('ปฏิทิน'!BV1="","",CHOOSE(WEEKDAY('ปฏิทิน'!BV1,2),"จ.","อ.","พ.","พฤ.","ศ.","ส.","อา."))</f>
        <v/>
      </c>
      <c r="BW7" s="630">
        <f>IF('ปฏิทิน'!BW1="","",CHOOSE(WEEKDAY('ปฏิทิน'!BW1,2),"จ.","อ.","พ.","พฤ.","ศ.","ส.","อา."))</f>
        <v/>
      </c>
      <c r="BX7" s="630">
        <f>IF('ปฏิทิน'!BX1="","",CHOOSE(WEEKDAY('ปฏิทิน'!BX1,2),"จ.","อ.","พ.","พฤ.","ศ.","ส.","อา."))</f>
        <v/>
      </c>
      <c r="BY7" s="630">
        <f>IF('ปฏิทิน'!BY1="","",CHOOSE(WEEKDAY('ปฏิทิน'!BY1,2),"จ.","อ.","พ.","พฤ.","ศ.","ส.","อา."))</f>
        <v/>
      </c>
      <c r="BZ7" s="630">
        <f>IF('ปฏิทิน'!BZ1="","",CHOOSE(WEEKDAY('ปฏิทิน'!BZ1,2),"จ.","อ.","พ.","พฤ.","ศ.","ส.","อา."))</f>
        <v/>
      </c>
      <c r="CA7" s="630">
        <f>IF('ปฏิทิน'!CA1="","",CHOOSE(WEEKDAY('ปฏิทิน'!CA1,2),"จ.","อ.","พ.","พฤ.","ศ.","ส.","อา."))</f>
        <v/>
      </c>
      <c r="CB7" s="630">
        <f>IF('ปฏิทิน'!CB1="","",CHOOSE(WEEKDAY('ปฏิทิน'!CB1,2),"จ.","อ.","พ.","พฤ.","ศ.","ส.","อา."))</f>
        <v/>
      </c>
      <c r="CC7" s="630">
        <f>IF('ปฏิทิน'!CC1="","",CHOOSE(WEEKDAY('ปฏิทิน'!CC1,2),"จ.","อ.","พ.","พฤ.","ศ.","ส.","อา."))</f>
        <v/>
      </c>
      <c r="CD7" s="630">
        <f>IF('ปฏิทิน'!CD1="","",CHOOSE(WEEKDAY('ปฏิทิน'!CD1,2),"จ.","อ.","พ.","พฤ.","ศ.","ส.","อา."))</f>
        <v/>
      </c>
      <c r="CE7" s="630">
        <f>IF('ปฏิทิน'!CE1="","",CHOOSE(WEEKDAY('ปฏิทิน'!CE1,2),"จ.","อ.","พ.","พฤ.","ศ.","ส.","อา."))</f>
        <v/>
      </c>
      <c r="CF7" s="630">
        <f>IF('ปฏิทิน'!CF1="","",CHOOSE(WEEKDAY('ปฏิทิน'!CF1,2),"จ.","อ.","พ.","พฤ.","ศ.","ส.","อา."))</f>
        <v/>
      </c>
      <c r="CG7" s="630">
        <f>IF('ปฏิทิน'!CG1="","",CHOOSE(WEEKDAY('ปฏิทิน'!CG1,2),"จ.","อ.","พ.","พฤ.","ศ.","ส.","อา."))</f>
        <v/>
      </c>
      <c r="CH7" s="630">
        <f>IF('ปฏิทิน'!CH1="","",CHOOSE(WEEKDAY('ปฏิทิน'!CH1,2),"จ.","อ.","พ.","พฤ.","ศ.","ส.","อา."))</f>
        <v/>
      </c>
      <c r="CI7" s="630">
        <f>IF('ปฏิทิน'!CI1="","",CHOOSE(WEEKDAY('ปฏิทิน'!CI1,2),"จ.","อ.","พ.","พฤ.","ศ.","ส.","อา."))</f>
        <v/>
      </c>
      <c r="CJ7" s="630">
        <f>IF('ปฏิทิน'!CJ1="","",CHOOSE(WEEKDAY('ปฏิทิน'!CJ1,2),"จ.","อ.","พ.","พฤ.","ศ.","ส.","อา."))</f>
        <v/>
      </c>
      <c r="CK7" s="630">
        <f>IF('ปฏิทิน'!CK1="","",CHOOSE(WEEKDAY('ปฏิทิน'!CK1,2),"จ.","อ.","พ.","พฤ.","ศ.","ส.","อา."))</f>
        <v/>
      </c>
      <c r="CL7" s="630">
        <f>IF('ปฏิทิน'!CL1="","",CHOOSE(WEEKDAY('ปฏิทิน'!CL1,2),"จ.","อ.","พ.","พฤ.","ศ.","ส.","อา."))</f>
        <v/>
      </c>
      <c r="CM7" s="630">
        <f>IF('ปฏิทิน'!CM1="","",CHOOSE(WEEKDAY('ปฏิทิน'!CM1,2),"จ.","อ.","พ.","พฤ.","ศ.","ส.","อา."))</f>
        <v/>
      </c>
      <c r="CN7" s="630">
        <f>IF('ปฏิทิน'!CN1="","",CHOOSE(WEEKDAY('ปฏิทิน'!CN1,2),"จ.","อ.","พ.","พฤ.","ศ.","ส.","อา."))</f>
        <v/>
      </c>
      <c r="CO7" s="630">
        <f>IF('ปฏิทิน'!CO1="","",CHOOSE(WEEKDAY('ปฏิทิน'!CO1,2),"จ.","อ.","พ.","พฤ.","ศ.","ส.","อา."))</f>
        <v/>
      </c>
      <c r="CP7" s="630">
        <f>IF('ปฏิทิน'!CP1="","",CHOOSE(WEEKDAY('ปฏิทิน'!CP1,2),"จ.","อ.","พ.","พฤ.","ศ.","ส.","อา."))</f>
        <v/>
      </c>
      <c r="CQ7" s="630">
        <f>IF('ปฏิทิน'!CQ1="","",CHOOSE(WEEKDAY('ปฏิทิน'!CQ1,2),"จ.","อ.","พ.","พฤ.","ศ.","ส.","อา."))</f>
        <v/>
      </c>
      <c r="CR7" s="630">
        <f>IF('ปฏิทิน'!CR1="","",CHOOSE(WEEKDAY('ปฏิทิน'!CR1,2),"จ.","อ.","พ.","พฤ.","ศ.","ส.","อา."))</f>
        <v/>
      </c>
      <c r="CS7" s="630">
        <f>IF('ปฏิทิน'!CS1="","",CHOOSE(WEEKDAY('ปฏิทิน'!CS1,2),"จ.","อ.","พ.","พฤ.","ศ.","ส.","อา."))</f>
        <v/>
      </c>
      <c r="CT7" s="630">
        <f>IF('ปฏิทิน'!CT1="","",CHOOSE(WEEKDAY('ปฏิทิน'!CT1,2),"จ.","อ.","พ.","พฤ.","ศ.","ส.","อา."))</f>
        <v/>
      </c>
      <c r="CU7" s="630">
        <f>IF('ปฏิทิน'!CU1="","",CHOOSE(WEEKDAY('ปฏิทิน'!CU1,2),"จ.","อ.","พ.","พฤ.","ศ.","ส.","อา."))</f>
        <v/>
      </c>
      <c r="CV7" s="630">
        <f>IF('ปฏิทิน'!CV1="","",CHOOSE(WEEKDAY('ปฏิทิน'!CV1,2),"จ.","อ.","พ.","พฤ.","ศ.","ส.","อา."))</f>
        <v/>
      </c>
      <c r="CW7" s="630">
        <f>IF('ปฏิทิน'!CW1="","",CHOOSE(WEEKDAY('ปฏิทิน'!CW1,2),"จ.","อ.","พ.","พฤ.","ศ.","ส.","อา."))</f>
        <v/>
      </c>
      <c r="CX7" s="630">
        <f>IF('ปฏิทิน'!CX1="","",CHOOSE(WEEKDAY('ปฏิทิน'!CX1,2),"จ.","อ.","พ.","พฤ.","ศ.","ส.","อา."))</f>
        <v/>
      </c>
      <c r="CY7" s="631" t="n"/>
      <c r="DB7" s="629">
        <f>IF('ปฏิทิน'!DB1="","",CHOOSE(WEEKDAY('ปฏิทิน'!DB1,2),"จ.","อ.","พ.","พฤ.","ศ.","ส.","อา."))</f>
        <v/>
      </c>
      <c r="DC7" s="630">
        <f>IF('ปฏิทิน'!DC1="","",CHOOSE(WEEKDAY('ปฏิทิน'!DC1,2),"จ.","อ.","พ.","พฤ.","ศ.","ส.","อา."))</f>
        <v/>
      </c>
      <c r="DD7" s="630">
        <f>IF('ปฏิทิน'!DD1="","",CHOOSE(WEEKDAY('ปฏิทิน'!DD1,2),"จ.","อ.","พ.","พฤ.","ศ.","ส.","อา."))</f>
        <v/>
      </c>
      <c r="DE7" s="630">
        <f>IF('ปฏิทิน'!DE1="","",CHOOSE(WEEKDAY('ปฏิทิน'!DE1,2),"จ.","อ.","พ.","พฤ.","ศ.","ส.","อา."))</f>
        <v/>
      </c>
      <c r="DF7" s="630">
        <f>IF('ปฏิทิน'!DF1="","",CHOOSE(WEEKDAY('ปฏิทิน'!DF1,2),"จ.","อ.","พ.","พฤ.","ศ.","ส.","อา."))</f>
        <v/>
      </c>
      <c r="DG7" s="630">
        <f>IF('ปฏิทิน'!DG1="","",CHOOSE(WEEKDAY('ปฏิทิน'!DG1,2),"จ.","อ.","พ.","พฤ.","ศ.","ส.","อา."))</f>
        <v/>
      </c>
      <c r="DH7" s="630">
        <f>IF('ปฏิทิน'!DH1="","",CHOOSE(WEEKDAY('ปฏิทิน'!DH1,2),"จ.","อ.","พ.","พฤ.","ศ.","ส.","อา."))</f>
        <v/>
      </c>
      <c r="DI7" s="630">
        <f>IF('ปฏิทิน'!DI1="","",CHOOSE(WEEKDAY('ปฏิทิน'!DI1,2),"จ.","อ.","พ.","พฤ.","ศ.","ส.","อา."))</f>
        <v/>
      </c>
      <c r="DJ7" s="630">
        <f>IF('ปฏิทิน'!DJ1="","",CHOOSE(WEEKDAY('ปฏิทิน'!DJ1,2),"จ.","อ.","พ.","พฤ.","ศ.","ส.","อา."))</f>
        <v/>
      </c>
      <c r="DK7" s="630">
        <f>IF('ปฏิทิน'!DK1="","",CHOOSE(WEEKDAY('ปฏิทิน'!DK1,2),"จ.","อ.","พ.","พฤ.","ศ.","ส.","อา."))</f>
        <v/>
      </c>
      <c r="DL7" s="630">
        <f>IF('ปฏิทิน'!DL1="","",CHOOSE(WEEKDAY('ปฏิทิน'!DL1,2),"จ.","อ.","พ.","พฤ.","ศ.","ส.","อา."))</f>
        <v/>
      </c>
      <c r="DM7" s="630">
        <f>IF('ปฏิทิน'!DM1="","",CHOOSE(WEEKDAY('ปฏิทิน'!DM1,2),"จ.","อ.","พ.","พฤ.","ศ.","ส.","อา."))</f>
        <v/>
      </c>
      <c r="DN7" s="630">
        <f>IF('ปฏิทิน'!DN1="","",CHOOSE(WEEKDAY('ปฏิทิน'!DN1,2),"จ.","อ.","พ.","พฤ.","ศ.","ส.","อา."))</f>
        <v/>
      </c>
      <c r="DO7" s="630">
        <f>IF('ปฏิทิน'!DO1="","",CHOOSE(WEEKDAY('ปฏิทิน'!DO1,2),"จ.","อ.","พ.","พฤ.","ศ.","ส.","อา."))</f>
        <v/>
      </c>
      <c r="DP7" s="630">
        <f>IF('ปฏิทิน'!DP1="","",CHOOSE(WEEKDAY('ปฏิทิน'!DP1,2),"จ.","อ.","พ.","พฤ.","ศ.","ส.","อา."))</f>
        <v/>
      </c>
      <c r="DQ7" s="630">
        <f>IF('ปฏิทิน'!DQ1="","",CHOOSE(WEEKDAY('ปฏิทิน'!DQ1,2),"จ.","อ.","พ.","พฤ.","ศ.","ส.","อา."))</f>
        <v/>
      </c>
      <c r="DR7" s="630">
        <f>IF('ปฏิทิน'!DR1="","",CHOOSE(WEEKDAY('ปฏิทิน'!DR1,2),"จ.","อ.","พ.","พฤ.","ศ.","ส.","อา."))</f>
        <v/>
      </c>
      <c r="DS7" s="630">
        <f>IF('ปฏิทิน'!DS1="","",CHOOSE(WEEKDAY('ปฏิทิน'!DS1,2),"จ.","อ.","พ.","พฤ.","ศ.","ส.","อา."))</f>
        <v/>
      </c>
      <c r="DT7" s="630">
        <f>IF('ปฏิทิน'!DT1="","",CHOOSE(WEEKDAY('ปฏิทิน'!DT1,2),"จ.","อ.","พ.","พฤ.","ศ.","ส.","อา."))</f>
        <v/>
      </c>
      <c r="DU7" s="630">
        <f>IF('ปฏิทิน'!DU1="","",CHOOSE(WEEKDAY('ปฏิทิน'!DU1,2),"จ.","อ.","พ.","พฤ.","ศ.","ส.","อา."))</f>
        <v/>
      </c>
      <c r="DV7" s="630">
        <f>IF('ปฏิทิน'!DV1="","",CHOOSE(WEEKDAY('ปฏิทิน'!DV1,2),"จ.","อ.","พ.","พฤ.","ศ.","ส.","อา."))</f>
        <v/>
      </c>
      <c r="DW7" s="630">
        <f>IF('ปฏิทิน'!DW1="","",CHOOSE(WEEKDAY('ปฏิทิน'!DW1,2),"จ.","อ.","พ.","พฤ.","ศ.","ส.","อา."))</f>
        <v/>
      </c>
      <c r="DX7" s="630">
        <f>IF('ปฏิทิน'!DX1="","",CHOOSE(WEEKDAY('ปฏิทิน'!DX1,2),"จ.","อ.","พ.","พฤ.","ศ.","ส.","อา."))</f>
        <v/>
      </c>
      <c r="DY7" s="630">
        <f>IF('ปฏิทิน'!DY1="","",CHOOSE(WEEKDAY('ปฏิทิน'!DY1,2),"จ.","อ.","พ.","พฤ.","ศ.","ส.","อา."))</f>
        <v/>
      </c>
      <c r="DZ7" s="630">
        <f>IF('ปฏิทิน'!DZ1="","",CHOOSE(WEEKDAY('ปฏิทิน'!DZ1,2),"จ.","อ.","พ.","พฤ.","ศ.","ส.","อา."))</f>
        <v/>
      </c>
      <c r="EA7" s="630">
        <f>IF('ปฏิทิน'!EA1="","",CHOOSE(WEEKDAY('ปฏิทิน'!EA1,2),"จ.","อ.","พ.","พฤ.","ศ.","ส.","อา."))</f>
        <v/>
      </c>
      <c r="EB7" s="630">
        <f>IF('ปฏิทิน'!EB1="","",CHOOSE(WEEKDAY('ปฏิทิน'!EB1,2),"จ.","อ.","พ.","พฤ.","ศ.","ส.","อา."))</f>
        <v/>
      </c>
      <c r="EC7" s="630">
        <f>IF('ปฏิทิน'!EC1="","",CHOOSE(WEEKDAY('ปฏิทิน'!EC1,2),"จ.","อ.","พ.","พฤ.","ศ.","ส.","อา."))</f>
        <v/>
      </c>
      <c r="ED7" s="630">
        <f>IF('ปฏิทิน'!ED1="","",CHOOSE(WEEKDAY('ปฏิทิน'!ED1,2),"จ.","อ.","พ.","พฤ.","ศ.","ส.","อา."))</f>
        <v/>
      </c>
      <c r="EE7" s="630">
        <f>IF('ปฏิทิน'!EE1="","",CHOOSE(WEEKDAY('ปฏิทิน'!EE1,2),"จ.","อ.","พ.","พฤ.","ศ.","ส.","อา."))</f>
        <v/>
      </c>
      <c r="EF7" s="630">
        <f>IF('ปฏิทิน'!EF1="","",CHOOSE(WEEKDAY('ปฏิทิน'!EF1,2),"จ.","อ.","พ.","พฤ.","ศ.","ส.","อา."))</f>
        <v/>
      </c>
      <c r="EG7" s="631" t="n"/>
      <c r="EJ7" s="629">
        <f>IF('ปฏิทิน'!EJ1="","",CHOOSE(WEEKDAY('ปฏิทิน'!EJ1,2),"จ.","อ.","พ.","พฤ.","ศ.","ส.","อา."))</f>
        <v/>
      </c>
      <c r="EK7" s="630">
        <f>IF('ปฏิทิน'!EK1="","",CHOOSE(WEEKDAY('ปฏิทิน'!EK1,2),"จ.","อ.","พ.","พฤ.","ศ.","ส.","อา."))</f>
        <v/>
      </c>
      <c r="EL7" s="630">
        <f>IF('ปฏิทิน'!EL1="","",CHOOSE(WEEKDAY('ปฏิทิน'!EL1,2),"จ.","อ.","พ.","พฤ.","ศ.","ส.","อา."))</f>
        <v/>
      </c>
      <c r="EM7" s="630">
        <f>IF('ปฏิทิน'!EM1="","",CHOOSE(WEEKDAY('ปฏิทิน'!EM1,2),"จ.","อ.","พ.","พฤ.","ศ.","ส.","อา."))</f>
        <v/>
      </c>
      <c r="EN7" s="630">
        <f>IF('ปฏิทิน'!EN1="","",CHOOSE(WEEKDAY('ปฏิทิน'!EN1,2),"จ.","อ.","พ.","พฤ.","ศ.","ส.","อา."))</f>
        <v/>
      </c>
      <c r="EO7" s="630">
        <f>IF('ปฏิทิน'!EO1="","",CHOOSE(WEEKDAY('ปฏิทิน'!EO1,2),"จ.","อ.","พ.","พฤ.","ศ.","ส.","อา."))</f>
        <v/>
      </c>
      <c r="EP7" s="630">
        <f>IF('ปฏิทิน'!EP1="","",CHOOSE(WEEKDAY('ปฏิทิน'!EP1,2),"จ.","อ.","พ.","พฤ.","ศ.","ส.","อา."))</f>
        <v/>
      </c>
      <c r="EQ7" s="630">
        <f>IF('ปฏิทิน'!EQ1="","",CHOOSE(WEEKDAY('ปฏิทิน'!EQ1,2),"จ.","อ.","พ.","พฤ.","ศ.","ส.","อา."))</f>
        <v/>
      </c>
      <c r="ER7" s="630">
        <f>IF('ปฏิทิน'!ER1="","",CHOOSE(WEEKDAY('ปฏิทิน'!ER1,2),"จ.","อ.","พ.","พฤ.","ศ.","ส.","อา."))</f>
        <v/>
      </c>
      <c r="ES7" s="630">
        <f>IF('ปฏิทิน'!ES1="","",CHOOSE(WEEKDAY('ปฏิทิน'!ES1,2),"จ.","อ.","พ.","พฤ.","ศ.","ส.","อา."))</f>
        <v/>
      </c>
      <c r="ET7" s="630">
        <f>IF('ปฏิทิน'!ET1="","",CHOOSE(WEEKDAY('ปฏิทิน'!ET1,2),"จ.","อ.","พ.","พฤ.","ศ.","ส.","อา."))</f>
        <v/>
      </c>
      <c r="EU7" s="630">
        <f>IF('ปฏิทิน'!EU1="","",CHOOSE(WEEKDAY('ปฏิทิน'!EU1,2),"จ.","อ.","พ.","พฤ.","ศ.","ส.","อา."))</f>
        <v/>
      </c>
      <c r="EV7" s="630">
        <f>IF('ปฏิทิน'!EV1="","",CHOOSE(WEEKDAY('ปฏิทิน'!EV1,2),"จ.","อ.","พ.","พฤ.","ศ.","ส.","อา."))</f>
        <v/>
      </c>
      <c r="EW7" s="630">
        <f>IF('ปฏิทิน'!EW1="","",CHOOSE(WEEKDAY('ปฏิทิน'!EW1,2),"จ.","อ.","พ.","พฤ.","ศ.","ส.","อา."))</f>
        <v/>
      </c>
      <c r="EX7" s="630">
        <f>IF('ปฏิทิน'!EX1="","",CHOOSE(WEEKDAY('ปฏิทิน'!EX1,2),"จ.","อ.","พ.","พฤ.","ศ.","ส.","อา."))</f>
        <v/>
      </c>
      <c r="EY7" s="630">
        <f>IF('ปฏิทิน'!EY1="","",CHOOSE(WEEKDAY('ปฏิทิน'!EY1,2),"จ.","อ.","พ.","พฤ.","ศ.","ส.","อา."))</f>
        <v/>
      </c>
      <c r="EZ7" s="630">
        <f>IF('ปฏิทิน'!EZ1="","",CHOOSE(WEEKDAY('ปฏิทิน'!EZ1,2),"จ.","อ.","พ.","พฤ.","ศ.","ส.","อา."))</f>
        <v/>
      </c>
      <c r="FA7" s="630">
        <f>IF('ปฏิทิน'!FA1="","",CHOOSE(WEEKDAY('ปฏิทิน'!FA1,2),"จ.","อ.","พ.","พฤ.","ศ.","ส.","อา."))</f>
        <v/>
      </c>
      <c r="FB7" s="630">
        <f>IF('ปฏิทิน'!FB1="","",CHOOSE(WEEKDAY('ปฏิทิน'!FB1,2),"จ.","อ.","พ.","พฤ.","ศ.","ส.","อา."))</f>
        <v/>
      </c>
      <c r="FC7" s="630">
        <f>IF('ปฏิทิน'!FC1="","",CHOOSE(WEEKDAY('ปฏิทิน'!FC1,2),"จ.","อ.","พ.","พฤ.","ศ.","ส.","อา."))</f>
        <v/>
      </c>
      <c r="FD7" s="630">
        <f>IF('ปฏิทิน'!FD1="","",CHOOSE(WEEKDAY('ปฏิทิน'!FD1,2),"จ.","อ.","พ.","พฤ.","ศ.","ส.","อา."))</f>
        <v/>
      </c>
      <c r="FE7" s="630">
        <f>IF('ปฏิทิน'!FE1="","",CHOOSE(WEEKDAY('ปฏิทิน'!FE1,2),"จ.","อ.","พ.","พฤ.","ศ.","ส.","อา."))</f>
        <v/>
      </c>
      <c r="FF7" s="630">
        <f>IF('ปฏิทิน'!FF1="","",CHOOSE(WEEKDAY('ปฏิทิน'!FF1,2),"จ.","อ.","พ.","พฤ.","ศ.","ส.","อา."))</f>
        <v/>
      </c>
      <c r="FG7" s="630">
        <f>IF('ปฏิทิน'!FG1="","",CHOOSE(WEEKDAY('ปฏิทิน'!FG1,2),"จ.","อ.","พ.","พฤ.","ศ.","ส.","อา."))</f>
        <v/>
      </c>
      <c r="FH7" s="630">
        <f>IF('ปฏิทิน'!FH1="","",CHOOSE(WEEKDAY('ปฏิทิน'!FH1,2),"จ.","อ.","พ.","พฤ.","ศ.","ส.","อา."))</f>
        <v/>
      </c>
      <c r="FI7" s="630">
        <f>IF('ปฏิทิน'!FI1="","",CHOOSE(WEEKDAY('ปฏิทิน'!FI1,2),"จ.","อ.","พ.","พฤ.","ศ.","ส.","อา."))</f>
        <v/>
      </c>
      <c r="FJ7" s="630">
        <f>IF('ปฏิทิน'!FJ1="","",CHOOSE(WEEKDAY('ปฏิทิน'!FJ1,2),"จ.","อ.","พ.","พฤ.","ศ.","ส.","อา."))</f>
        <v/>
      </c>
      <c r="FK7" s="630">
        <f>IF('ปฏิทิน'!FK1="","",CHOOSE(WEEKDAY('ปฏิทิน'!FK1,2),"จ.","อ.","พ.","พฤ.","ศ.","ส.","อา."))</f>
        <v/>
      </c>
      <c r="FL7" s="630">
        <f>IF('ปฏิทิน'!FL1="","",CHOOSE(WEEKDAY('ปฏิทิน'!FL1,2),"จ.","อ.","พ.","พฤ.","ศ.","ส.","อา."))</f>
        <v/>
      </c>
      <c r="FM7" s="630">
        <f>IF('ปฏิทิน'!FM1="","",CHOOSE(WEEKDAY('ปฏิทิน'!FM1,2),"จ.","อ.","พ.","พฤ.","ศ.","ส.","อา."))</f>
        <v/>
      </c>
      <c r="FN7" s="630">
        <f>IF('ปฏิทิน'!FN1="","",CHOOSE(WEEKDAY('ปฏิทิน'!FN1,2),"จ.","อ.","พ.","พฤ.","ศ.","ส.","อา."))</f>
        <v/>
      </c>
      <c r="FO7" s="631" t="n"/>
      <c r="FR7" s="629">
        <f>IF('ปฏิทิน'!FR1="","",CHOOSE(WEEKDAY('ปฏิทิน'!FR1,2),"จ.","อ.","พ.","พฤ.","ศ.","ส.","อา."))</f>
        <v/>
      </c>
      <c r="FS7" s="630">
        <f>IF('ปฏิทิน'!FS1="","",CHOOSE(WEEKDAY('ปฏิทิน'!FS1,2),"จ.","อ.","พ.","พฤ.","ศ.","ส.","อา."))</f>
        <v/>
      </c>
      <c r="FT7" s="630">
        <f>IF('ปฏิทิน'!FT1="","",CHOOSE(WEEKDAY('ปฏิทิน'!FT1,2),"จ.","อ.","พ.","พฤ.","ศ.","ส.","อา."))</f>
        <v/>
      </c>
      <c r="FU7" s="630">
        <f>IF('ปฏิทิน'!FU1="","",CHOOSE(WEEKDAY('ปฏิทิน'!FU1,2),"จ.","อ.","พ.","พฤ.","ศ.","ส.","อา."))</f>
        <v/>
      </c>
      <c r="FV7" s="630">
        <f>IF('ปฏิทิน'!FV1="","",CHOOSE(WEEKDAY('ปฏิทิน'!FV1,2),"จ.","อ.","พ.","พฤ.","ศ.","ส.","อา."))</f>
        <v/>
      </c>
      <c r="FW7" s="630">
        <f>IF('ปฏิทิน'!FW1="","",CHOOSE(WEEKDAY('ปฏิทิน'!FW1,2),"จ.","อ.","พ.","พฤ.","ศ.","ส.","อา."))</f>
        <v/>
      </c>
      <c r="FX7" s="630">
        <f>IF('ปฏิทิน'!FX1="","",CHOOSE(WEEKDAY('ปฏิทิน'!FX1,2),"จ.","อ.","พ.","พฤ.","ศ.","ส.","อา."))</f>
        <v/>
      </c>
      <c r="FY7" s="630">
        <f>IF('ปฏิทิน'!FY1="","",CHOOSE(WEEKDAY('ปฏิทิน'!FY1,2),"จ.","อ.","พ.","พฤ.","ศ.","ส.","อา."))</f>
        <v/>
      </c>
      <c r="FZ7" s="630">
        <f>IF('ปฏิทิน'!FZ1="","",CHOOSE(WEEKDAY('ปฏิทิน'!FZ1,2),"จ.","อ.","พ.","พฤ.","ศ.","ส.","อา."))</f>
        <v/>
      </c>
      <c r="GA7" s="630">
        <f>IF('ปฏิทิน'!GA1="","",CHOOSE(WEEKDAY('ปฏิทิน'!GA1,2),"จ.","อ.","พ.","พฤ.","ศ.","ส.","อา."))</f>
        <v/>
      </c>
      <c r="GB7" s="630">
        <f>IF('ปฏิทิน'!GB1="","",CHOOSE(WEEKDAY('ปฏิทิน'!GB1,2),"จ.","อ.","พ.","พฤ.","ศ.","ส.","อา."))</f>
        <v/>
      </c>
      <c r="GC7" s="630">
        <f>IF('ปฏิทิน'!GC1="","",CHOOSE(WEEKDAY('ปฏิทิน'!GC1,2),"จ.","อ.","พ.","พฤ.","ศ.","ส.","อา."))</f>
        <v/>
      </c>
      <c r="GD7" s="630">
        <f>IF('ปฏิทิน'!GD1="","",CHOOSE(WEEKDAY('ปฏิทิน'!GD1,2),"จ.","อ.","พ.","พฤ.","ศ.","ส.","อา."))</f>
        <v/>
      </c>
      <c r="GE7" s="630">
        <f>IF('ปฏิทิน'!GE1="","",CHOOSE(WEEKDAY('ปฏิทิน'!GE1,2),"จ.","อ.","พ.","พฤ.","ศ.","ส.","อา."))</f>
        <v/>
      </c>
      <c r="GF7" s="630">
        <f>IF('ปฏิทิน'!GF1="","",CHOOSE(WEEKDAY('ปฏิทิน'!GF1,2),"จ.","อ.","พ.","พฤ.","ศ.","ส.","อา."))</f>
        <v/>
      </c>
      <c r="GG7" s="630">
        <f>IF('ปฏิทิน'!GG1="","",CHOOSE(WEEKDAY('ปฏิทิน'!GG1,2),"จ.","อ.","พ.","พฤ.","ศ.","ส.","อา."))</f>
        <v/>
      </c>
      <c r="GH7" s="630">
        <f>IF('ปฏิทิน'!GH1="","",CHOOSE(WEEKDAY('ปฏิทิน'!GH1,2),"จ.","อ.","พ.","พฤ.","ศ.","ส.","อา."))</f>
        <v/>
      </c>
      <c r="GI7" s="630">
        <f>IF('ปฏิทิน'!GI1="","",CHOOSE(WEEKDAY('ปฏิทิน'!GI1,2),"จ.","อ.","พ.","พฤ.","ศ.","ส.","อา."))</f>
        <v/>
      </c>
      <c r="GJ7" s="630">
        <f>IF('ปฏิทิน'!GJ1="","",CHOOSE(WEEKDAY('ปฏิทิน'!GJ1,2),"จ.","อ.","พ.","พฤ.","ศ.","ส.","อา."))</f>
        <v/>
      </c>
      <c r="GK7" s="630">
        <f>IF('ปฏิทิน'!GK1="","",CHOOSE(WEEKDAY('ปฏิทิน'!GK1,2),"จ.","อ.","พ.","พฤ.","ศ.","ส.","อา."))</f>
        <v/>
      </c>
      <c r="GL7" s="630">
        <f>IF('ปฏิทิน'!GL1="","",CHOOSE(WEEKDAY('ปฏิทิน'!GL1,2),"จ.","อ.","พ.","พฤ.","ศ.","ส.","อา."))</f>
        <v/>
      </c>
      <c r="GM7" s="630">
        <f>IF('ปฏิทิน'!GM1="","",CHOOSE(WEEKDAY('ปฏิทิน'!GM1,2),"จ.","อ.","พ.","พฤ.","ศ.","ส.","อา."))</f>
        <v/>
      </c>
      <c r="GN7" s="630">
        <f>IF('ปฏิทิน'!GN1="","",CHOOSE(WEEKDAY('ปฏิทิน'!GN1,2),"จ.","อ.","พ.","พฤ.","ศ.","ส.","อา."))</f>
        <v/>
      </c>
      <c r="GO7" s="630">
        <f>IF('ปฏิทิน'!GO1="","",CHOOSE(WEEKDAY('ปฏิทิน'!GO1,2),"จ.","อ.","พ.","พฤ.","ศ.","ส.","อา."))</f>
        <v/>
      </c>
      <c r="GP7" s="630">
        <f>IF('ปฏิทิน'!GP1="","",CHOOSE(WEEKDAY('ปฏิทิน'!GP1,2),"จ.","อ.","พ.","พฤ.","ศ.","ส.","อา."))</f>
        <v/>
      </c>
      <c r="GQ7" s="630">
        <f>IF('ปฏิทิน'!GQ1="","",CHOOSE(WEEKDAY('ปฏิทิน'!GQ1,2),"จ.","อ.","พ.","พฤ.","ศ.","ส.","อา."))</f>
        <v/>
      </c>
      <c r="GR7" s="630">
        <f>IF('ปฏิทิน'!GR1="","",CHOOSE(WEEKDAY('ปฏิทิน'!GR1,2),"จ.","อ.","พ.","พฤ.","ศ.","ส.","อา."))</f>
        <v/>
      </c>
      <c r="GS7" s="630">
        <f>IF('ปฏิทิน'!GS1="","",CHOOSE(WEEKDAY('ปฏิทิน'!GS1,2),"จ.","อ.","พ.","พฤ.","ศ.","ส.","อา."))</f>
        <v/>
      </c>
      <c r="GT7" s="630">
        <f>IF('ปฏิทิน'!GT1="","",CHOOSE(WEEKDAY('ปฏิทิน'!GT1,2),"จ.","อ.","พ.","พฤ.","ศ.","ส.","อา."))</f>
        <v/>
      </c>
      <c r="GU7" s="630">
        <f>IF('ปฏิทิน'!GU1="","",CHOOSE(WEEKDAY('ปฏิทิน'!GU1,2),"จ.","อ.","พ.","พฤ.","ศ.","ส.","อา."))</f>
        <v/>
      </c>
      <c r="GV7" s="630">
        <f>IF('ปฏิทิน'!GV1="","",CHOOSE(WEEKDAY('ปฏิทิน'!GV1,2),"จ.","อ.","พ.","พฤ.","ศ.","ส.","อา."))</f>
        <v/>
      </c>
      <c r="GW7" s="631" t="n"/>
    </row>
    <row r="8" ht="64" customHeight="1">
      <c r="D8" s="632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631" t="n"/>
      <c r="AL8" s="632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631" t="n"/>
      <c r="BT8" s="632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631" t="n"/>
      <c r="DB8" s="632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631" t="n"/>
      <c r="EJ8" s="632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631" t="n"/>
      <c r="FR8" s="632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631" t="n"/>
    </row>
    <row r="9">
      <c r="A9" s="218" t="n">
        <v>1</v>
      </c>
      <c r="B9" s="219">
        <f>'ข้อมูลนักเรียน'!T9</f>
        <v/>
      </c>
      <c r="C9" s="633">
        <f>IF(B9="","",IFERROR(COUNTIF(D9:GY9,"✓")/(COUNTIF(D9:GY9,"✓")+COUNTIF(D9:GY9,"✗")),""))</f>
        <v/>
      </c>
      <c r="D9" s="634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35">
        <f>IF($B9="","",COUNTIF(D9:AH9,"✓"))</f>
        <v/>
      </c>
      <c r="AJ9" s="636">
        <f>IF($B9="","",COUNTIF(D9:AH9,"✗"))</f>
        <v/>
      </c>
      <c r="AK9" s="637">
        <f>IF($B9="","",IFERROR(ROUND(COUNTIF(D9:AH9,"✓")/(COUNTIF(D9:AH9,"✓")+COUNTIF(D9:AH9,"✗"))*100,0),""))</f>
        <v/>
      </c>
      <c r="AL9" s="634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35">
        <f>IF($B9="","",COUNTIF(AL9:BP9,"✓"))</f>
        <v/>
      </c>
      <c r="BR9" s="636">
        <f>IF($B9="","",COUNTIF(AL9:BP9,"✗"))</f>
        <v/>
      </c>
      <c r="BS9" s="637">
        <f>IF($B9="","",IFERROR(ROUND(COUNTIF(AL9:BP9,"✓")/(COUNTIF(AL9:BP9,"✓")+COUNTIF(AL9:BP9,"✗"))*100,0),""))</f>
        <v/>
      </c>
      <c r="BT9" s="634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35">
        <f>IF($B9="","",COUNTIF(BT9:CX9,"✓"))</f>
        <v/>
      </c>
      <c r="CZ9" s="636">
        <f>IF($B9="","",COUNTIF(BT9:CX9,"✗"))</f>
        <v/>
      </c>
      <c r="DA9" s="637">
        <f>IF($B9="","",IFERROR(ROUND(COUNTIF(BT9:CX9,"✓")/(COUNTIF(BT9:CX9,"✓")+COUNTIF(BT9:CX9,"✗"))*100,0),""))</f>
        <v/>
      </c>
      <c r="DB9" s="634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35">
        <f>IF($B9="","",COUNTIF(DB9:EF9,"✓"))</f>
        <v/>
      </c>
      <c r="EH9" s="636">
        <f>IF($B9="","",COUNTIF(DB9:EF9,"✗"))</f>
        <v/>
      </c>
      <c r="EI9" s="637">
        <f>IF($B9="","",IFERROR(ROUND(COUNTIF(DB9:EF9,"✓")/(COUNTIF(DB9:EF9,"✓")+COUNTIF(DB9:EF9,"✗"))*100,0),""))</f>
        <v/>
      </c>
      <c r="EJ9" s="634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35">
        <f>IF($B9="","",COUNTIF(EJ9:FN9,"✓"))</f>
        <v/>
      </c>
      <c r="FP9" s="636">
        <f>IF($B9="","",COUNTIF(EJ9:FN9,"✗"))</f>
        <v/>
      </c>
      <c r="FQ9" s="637">
        <f>IF($B9="","",IFERROR(ROUND(COUNTIF(EJ9:FN9,"✓")/(COUNTIF(EJ9:FN9,"✓")+COUNTIF(EJ9:FN9,"✗"))*100,0),""))</f>
        <v/>
      </c>
      <c r="FR9" s="634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635">
        <f>IF($B9="","",COUNTIF(FR9:GV9,"✓"))</f>
        <v/>
      </c>
      <c r="GX9" s="636">
        <f>IF($B9="","",COUNTIF(FR9:GV9,"✗"))</f>
        <v/>
      </c>
      <c r="GY9" s="637">
        <f>IF($B9="","",IFERROR(ROUND(COUNTIF(FR9:GV9,"✓")/(COUNTIF(FR9:GV9,"✓")+COUNTIF(FR9:GV9,"✗"))*100,0),""))</f>
        <v/>
      </c>
    </row>
    <row r="10">
      <c r="A10" s="226" t="n">
        <v>2</v>
      </c>
      <c r="B10" s="227">
        <f>'ข้อมูลนักเรียน'!T10</f>
        <v/>
      </c>
      <c r="C10" s="633">
        <f>IF(B10="","",IFERROR(COUNTIF(D10:GY10,"✓")/(COUNTIF(D10:GY10,"✓")+COUNTIF(D10:GY10,"✗")),""))</f>
        <v/>
      </c>
      <c r="D10" s="634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35">
        <f>IF($B10="","",COUNTIF(D10:AH10,"✓"))</f>
        <v/>
      </c>
      <c r="AJ10" s="636">
        <f>IF($B10="","",COUNTIF(D10:AH10,"✗"))</f>
        <v/>
      </c>
      <c r="AK10" s="637">
        <f>IF($B10="","",IFERROR(ROUND(COUNTIF(D10:AH10,"✓")/(COUNTIF(D10:AH10,"✓")+COUNTIF(D10:AH10,"✗"))*100,0),""))</f>
        <v/>
      </c>
      <c r="AL10" s="634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35">
        <f>IF($B10="","",COUNTIF(AL10:BP10,"✓"))</f>
        <v/>
      </c>
      <c r="BR10" s="636">
        <f>IF($B10="","",COUNTIF(AL10:BP10,"✗"))</f>
        <v/>
      </c>
      <c r="BS10" s="637">
        <f>IF($B10="","",IFERROR(ROUND(COUNTIF(AL10:BP10,"✓")/(COUNTIF(AL10:BP10,"✓")+COUNTIF(AL10:BP10,"✗"))*100,0),""))</f>
        <v/>
      </c>
      <c r="BT10" s="634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35">
        <f>IF($B10="","",COUNTIF(BT10:CX10,"✓"))</f>
        <v/>
      </c>
      <c r="CZ10" s="636">
        <f>IF($B10="","",COUNTIF(BT10:CX10,"✗"))</f>
        <v/>
      </c>
      <c r="DA10" s="637">
        <f>IF($B10="","",IFERROR(ROUND(COUNTIF(BT10:CX10,"✓")/(COUNTIF(BT10:CX10,"✓")+COUNTIF(BT10:CX10,"✗"))*100,0),""))</f>
        <v/>
      </c>
      <c r="DB10" s="634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35">
        <f>IF($B10="","",COUNTIF(DB10:EF10,"✓"))</f>
        <v/>
      </c>
      <c r="EH10" s="636">
        <f>IF($B10="","",COUNTIF(DB10:EF10,"✗"))</f>
        <v/>
      </c>
      <c r="EI10" s="637">
        <f>IF($B10="","",IFERROR(ROUND(COUNTIF(DB10:EF10,"✓")/(COUNTIF(DB10:EF10,"✓")+COUNTIF(DB10:EF10,"✗"))*100,0),""))</f>
        <v/>
      </c>
      <c r="EJ10" s="634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35">
        <f>IF($B10="","",COUNTIF(EJ10:FN10,"✓"))</f>
        <v/>
      </c>
      <c r="FP10" s="636">
        <f>IF($B10="","",COUNTIF(EJ10:FN10,"✗"))</f>
        <v/>
      </c>
      <c r="FQ10" s="637">
        <f>IF($B10="","",IFERROR(ROUND(COUNTIF(EJ10:FN10,"✓")/(COUNTIF(EJ10:FN10,"✓")+COUNTIF(EJ10:FN10,"✗"))*100,0),""))</f>
        <v/>
      </c>
      <c r="FR10" s="634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635">
        <f>IF($B10="","",COUNTIF(FR10:GV10,"✓"))</f>
        <v/>
      </c>
      <c r="GX10" s="636">
        <f>IF($B10="","",COUNTIF(FR10:GV10,"✗"))</f>
        <v/>
      </c>
      <c r="GY10" s="637">
        <f>IF($B10="","",IFERROR(ROUND(COUNTIF(FR10:GV10,"✓")/(COUNTIF(FR10:GV10,"✓")+COUNTIF(FR10:GV10,"✗"))*100,0),""))</f>
        <v/>
      </c>
    </row>
    <row r="11">
      <c r="A11" s="218" t="n">
        <v>3</v>
      </c>
      <c r="B11" s="219">
        <f>'ข้อมูลนักเรียน'!T11</f>
        <v/>
      </c>
      <c r="C11" s="633">
        <f>IF(B11="","",IFERROR(COUNTIF(D11:GY11,"✓")/(COUNTIF(D11:GY11,"✓")+COUNTIF(D11:GY11,"✗")),""))</f>
        <v/>
      </c>
      <c r="D11" s="634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35">
        <f>IF($B11="","",COUNTIF(D11:AH11,"✓"))</f>
        <v/>
      </c>
      <c r="AJ11" s="636">
        <f>IF($B11="","",COUNTIF(D11:AH11,"✗"))</f>
        <v/>
      </c>
      <c r="AK11" s="637">
        <f>IF($B11="","",IFERROR(ROUND(COUNTIF(D11:AH11,"✓")/(COUNTIF(D11:AH11,"✓")+COUNTIF(D11:AH11,"✗"))*100,0),""))</f>
        <v/>
      </c>
      <c r="AL11" s="634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35">
        <f>IF($B11="","",COUNTIF(AL11:BP11,"✓"))</f>
        <v/>
      </c>
      <c r="BR11" s="636">
        <f>IF($B11="","",COUNTIF(AL11:BP11,"✗"))</f>
        <v/>
      </c>
      <c r="BS11" s="637">
        <f>IF($B11="","",IFERROR(ROUND(COUNTIF(AL11:BP11,"✓")/(COUNTIF(AL11:BP11,"✓")+COUNTIF(AL11:BP11,"✗"))*100,0),""))</f>
        <v/>
      </c>
      <c r="BT11" s="634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35">
        <f>IF($B11="","",COUNTIF(BT11:CX11,"✓"))</f>
        <v/>
      </c>
      <c r="CZ11" s="636">
        <f>IF($B11="","",COUNTIF(BT11:CX11,"✗"))</f>
        <v/>
      </c>
      <c r="DA11" s="637">
        <f>IF($B11="","",IFERROR(ROUND(COUNTIF(BT11:CX11,"✓")/(COUNTIF(BT11:CX11,"✓")+COUNTIF(BT11:CX11,"✗"))*100,0),""))</f>
        <v/>
      </c>
      <c r="DB11" s="634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35">
        <f>IF($B11="","",COUNTIF(DB11:EF11,"✓"))</f>
        <v/>
      </c>
      <c r="EH11" s="636">
        <f>IF($B11="","",COUNTIF(DB11:EF11,"✗"))</f>
        <v/>
      </c>
      <c r="EI11" s="637">
        <f>IF($B11="","",IFERROR(ROUND(COUNTIF(DB11:EF11,"✓")/(COUNTIF(DB11:EF11,"✓")+COUNTIF(DB11:EF11,"✗"))*100,0),""))</f>
        <v/>
      </c>
      <c r="EJ11" s="634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35">
        <f>IF($B11="","",COUNTIF(EJ11:FN11,"✓"))</f>
        <v/>
      </c>
      <c r="FP11" s="636">
        <f>IF($B11="","",COUNTIF(EJ11:FN11,"✗"))</f>
        <v/>
      </c>
      <c r="FQ11" s="637">
        <f>IF($B11="","",IFERROR(ROUND(COUNTIF(EJ11:FN11,"✓")/(COUNTIF(EJ11:FN11,"✓")+COUNTIF(EJ11:FN11,"✗"))*100,0),""))</f>
        <v/>
      </c>
      <c r="FR11" s="634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635">
        <f>IF($B11="","",COUNTIF(FR11:GV11,"✓"))</f>
        <v/>
      </c>
      <c r="GX11" s="636">
        <f>IF($B11="","",COUNTIF(FR11:GV11,"✗"))</f>
        <v/>
      </c>
      <c r="GY11" s="637">
        <f>IF($B11="","",IFERROR(ROUND(COUNTIF(FR11:GV11,"✓")/(COUNTIF(FR11:GV11,"✓")+COUNTIF(FR11:GV11,"✗"))*100,0),""))</f>
        <v/>
      </c>
    </row>
    <row r="12">
      <c r="A12" s="226" t="n">
        <v>4</v>
      </c>
      <c r="B12" s="227">
        <f>'ข้อมูลนักเรียน'!T12</f>
        <v/>
      </c>
      <c r="C12" s="633">
        <f>IF(B12="","",IFERROR(COUNTIF(D12:GY12,"✓")/(COUNTIF(D12:GY12,"✓")+COUNTIF(D12:GY12,"✗")),""))</f>
        <v/>
      </c>
      <c r="D12" s="634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35">
        <f>IF($B12="","",COUNTIF(D12:AH12,"✓"))</f>
        <v/>
      </c>
      <c r="AJ12" s="636">
        <f>IF($B12="","",COUNTIF(D12:AH12,"✗"))</f>
        <v/>
      </c>
      <c r="AK12" s="637">
        <f>IF($B12="","",IFERROR(ROUND(COUNTIF(D12:AH12,"✓")/(COUNTIF(D12:AH12,"✓")+COUNTIF(D12:AH12,"✗"))*100,0),""))</f>
        <v/>
      </c>
      <c r="AL12" s="634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35">
        <f>IF($B12="","",COUNTIF(AL12:BP12,"✓"))</f>
        <v/>
      </c>
      <c r="BR12" s="636">
        <f>IF($B12="","",COUNTIF(AL12:BP12,"✗"))</f>
        <v/>
      </c>
      <c r="BS12" s="637">
        <f>IF($B12="","",IFERROR(ROUND(COUNTIF(AL12:BP12,"✓")/(COUNTIF(AL12:BP12,"✓")+COUNTIF(AL12:BP12,"✗"))*100,0),""))</f>
        <v/>
      </c>
      <c r="BT12" s="634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35">
        <f>IF($B12="","",COUNTIF(BT12:CX12,"✓"))</f>
        <v/>
      </c>
      <c r="CZ12" s="636">
        <f>IF($B12="","",COUNTIF(BT12:CX12,"✗"))</f>
        <v/>
      </c>
      <c r="DA12" s="637">
        <f>IF($B12="","",IFERROR(ROUND(COUNTIF(BT12:CX12,"✓")/(COUNTIF(BT12:CX12,"✓")+COUNTIF(BT12:CX12,"✗"))*100,0),""))</f>
        <v/>
      </c>
      <c r="DB12" s="634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35">
        <f>IF($B12="","",COUNTIF(DB12:EF12,"✓"))</f>
        <v/>
      </c>
      <c r="EH12" s="636">
        <f>IF($B12="","",COUNTIF(DB12:EF12,"✗"))</f>
        <v/>
      </c>
      <c r="EI12" s="637">
        <f>IF($B12="","",IFERROR(ROUND(COUNTIF(DB12:EF12,"✓")/(COUNTIF(DB12:EF12,"✓")+COUNTIF(DB12:EF12,"✗"))*100,0),""))</f>
        <v/>
      </c>
      <c r="EJ12" s="634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35">
        <f>IF($B12="","",COUNTIF(EJ12:FN12,"✓"))</f>
        <v/>
      </c>
      <c r="FP12" s="636">
        <f>IF($B12="","",COUNTIF(EJ12:FN12,"✗"))</f>
        <v/>
      </c>
      <c r="FQ12" s="637">
        <f>IF($B12="","",IFERROR(ROUND(COUNTIF(EJ12:FN12,"✓")/(COUNTIF(EJ12:FN12,"✓")+COUNTIF(EJ12:FN12,"✗"))*100,0),""))</f>
        <v/>
      </c>
      <c r="FR12" s="634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635">
        <f>IF($B12="","",COUNTIF(FR12:GV12,"✓"))</f>
        <v/>
      </c>
      <c r="GX12" s="636">
        <f>IF($B12="","",COUNTIF(FR12:GV12,"✗"))</f>
        <v/>
      </c>
      <c r="GY12" s="637">
        <f>IF($B12="","",IFERROR(ROUND(COUNTIF(FR12:GV12,"✓")/(COUNTIF(FR12:GV12,"✓")+COUNTIF(FR12:GV12,"✗"))*100,0),""))</f>
        <v/>
      </c>
    </row>
    <row r="13">
      <c r="A13" s="218" t="n">
        <v>5</v>
      </c>
      <c r="B13" s="219">
        <f>'ข้อมูลนักเรียน'!T13</f>
        <v/>
      </c>
      <c r="C13" s="633">
        <f>IF(B13="","",IFERROR(COUNTIF(D13:GY13,"✓")/(COUNTIF(D13:GY13,"✓")+COUNTIF(D13:GY13,"✗")),""))</f>
        <v/>
      </c>
      <c r="D13" s="634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35">
        <f>IF($B13="","",COUNTIF(D13:AH13,"✓"))</f>
        <v/>
      </c>
      <c r="AJ13" s="636">
        <f>IF($B13="","",COUNTIF(D13:AH13,"✗"))</f>
        <v/>
      </c>
      <c r="AK13" s="637">
        <f>IF($B13="","",IFERROR(ROUND(COUNTIF(D13:AH13,"✓")/(COUNTIF(D13:AH13,"✓")+COUNTIF(D13:AH13,"✗"))*100,0),""))</f>
        <v/>
      </c>
      <c r="AL13" s="634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35">
        <f>IF($B13="","",COUNTIF(AL13:BP13,"✓"))</f>
        <v/>
      </c>
      <c r="BR13" s="636">
        <f>IF($B13="","",COUNTIF(AL13:BP13,"✗"))</f>
        <v/>
      </c>
      <c r="BS13" s="637">
        <f>IF($B13="","",IFERROR(ROUND(COUNTIF(AL13:BP13,"✓")/(COUNTIF(AL13:BP13,"✓")+COUNTIF(AL13:BP13,"✗"))*100,0),""))</f>
        <v/>
      </c>
      <c r="BT13" s="634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35">
        <f>IF($B13="","",COUNTIF(BT13:CX13,"✓"))</f>
        <v/>
      </c>
      <c r="CZ13" s="636">
        <f>IF($B13="","",COUNTIF(BT13:CX13,"✗"))</f>
        <v/>
      </c>
      <c r="DA13" s="637">
        <f>IF($B13="","",IFERROR(ROUND(COUNTIF(BT13:CX13,"✓")/(COUNTIF(BT13:CX13,"✓")+COUNTIF(BT13:CX13,"✗"))*100,0),""))</f>
        <v/>
      </c>
      <c r="DB13" s="634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35">
        <f>IF($B13="","",COUNTIF(DB13:EF13,"✓"))</f>
        <v/>
      </c>
      <c r="EH13" s="636">
        <f>IF($B13="","",COUNTIF(DB13:EF13,"✗"))</f>
        <v/>
      </c>
      <c r="EI13" s="637">
        <f>IF($B13="","",IFERROR(ROUND(COUNTIF(DB13:EF13,"✓")/(COUNTIF(DB13:EF13,"✓")+COUNTIF(DB13:EF13,"✗"))*100,0),""))</f>
        <v/>
      </c>
      <c r="EJ13" s="634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35">
        <f>IF($B13="","",COUNTIF(EJ13:FN13,"✓"))</f>
        <v/>
      </c>
      <c r="FP13" s="636">
        <f>IF($B13="","",COUNTIF(EJ13:FN13,"✗"))</f>
        <v/>
      </c>
      <c r="FQ13" s="637">
        <f>IF($B13="","",IFERROR(ROUND(COUNTIF(EJ13:FN13,"✓")/(COUNTIF(EJ13:FN13,"✓")+COUNTIF(EJ13:FN13,"✗"))*100,0),""))</f>
        <v/>
      </c>
      <c r="FR13" s="634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635">
        <f>IF($B13="","",COUNTIF(FR13:GV13,"✓"))</f>
        <v/>
      </c>
      <c r="GX13" s="636">
        <f>IF($B13="","",COUNTIF(FR13:GV13,"✗"))</f>
        <v/>
      </c>
      <c r="GY13" s="637">
        <f>IF($B13="","",IFERROR(ROUND(COUNTIF(FR13:GV13,"✓")/(COUNTIF(FR13:GV13,"✓")+COUNTIF(FR13:GV13,"✗"))*100,0),""))</f>
        <v/>
      </c>
    </row>
    <row r="14">
      <c r="A14" s="638" t="inlineStr">
        <is>
          <t>เข้าร่วม (คน)</t>
        </is>
      </c>
      <c r="B14" s="184" t="n"/>
      <c r="C14" s="184" t="n"/>
      <c r="D14" s="639">
        <f>IF(D$4&lt;&gt;1,"",COUNTIF(D9:D13,"✓"))</f>
        <v/>
      </c>
      <c r="E14" s="398">
        <f>IF(E$4&lt;&gt;1,"",COUNTIF(E9:E13,"✓"))</f>
        <v/>
      </c>
      <c r="F14" s="398">
        <f>IF(F$4&lt;&gt;1,"",COUNTIF(F9:F13,"✓"))</f>
        <v/>
      </c>
      <c r="G14" s="398">
        <f>IF(G$4&lt;&gt;1,"",COUNTIF(G9:G13,"✓"))</f>
        <v/>
      </c>
      <c r="H14" s="398">
        <f>IF(H$4&lt;&gt;1,"",COUNTIF(H9:H13,"✓"))</f>
        <v/>
      </c>
      <c r="I14" s="398">
        <f>IF(I$4&lt;&gt;1,"",COUNTIF(I9:I13,"✓"))</f>
        <v/>
      </c>
      <c r="J14" s="398">
        <f>IF(J$4&lt;&gt;1,"",COUNTIF(J9:J13,"✓"))</f>
        <v/>
      </c>
      <c r="K14" s="398">
        <f>IF(K$4&lt;&gt;1,"",COUNTIF(K9:K13,"✓"))</f>
        <v/>
      </c>
      <c r="L14" s="398">
        <f>IF(L$4&lt;&gt;1,"",COUNTIF(L9:L13,"✓"))</f>
        <v/>
      </c>
      <c r="M14" s="398">
        <f>IF(M$4&lt;&gt;1,"",COUNTIF(M9:M13,"✓"))</f>
        <v/>
      </c>
      <c r="N14" s="398">
        <f>IF(N$4&lt;&gt;1,"",COUNTIF(N9:N13,"✓"))</f>
        <v/>
      </c>
      <c r="O14" s="398">
        <f>IF(O$4&lt;&gt;1,"",COUNTIF(O9:O13,"✓"))</f>
        <v/>
      </c>
      <c r="P14" s="398">
        <f>IF(P$4&lt;&gt;1,"",COUNTIF(P9:P13,"✓"))</f>
        <v/>
      </c>
      <c r="Q14" s="398">
        <f>IF(Q$4&lt;&gt;1,"",COUNTIF(Q9:Q13,"✓"))</f>
        <v/>
      </c>
      <c r="R14" s="398">
        <f>IF(R$4&lt;&gt;1,"",COUNTIF(R9:R13,"✓"))</f>
        <v/>
      </c>
      <c r="S14" s="398">
        <f>IF(S$4&lt;&gt;1,"",COUNTIF(S9:S13,"✓"))</f>
        <v/>
      </c>
      <c r="T14" s="398">
        <f>IF(T$4&lt;&gt;1,"",COUNTIF(T9:T13,"✓"))</f>
        <v/>
      </c>
      <c r="U14" s="398">
        <f>IF(U$4&lt;&gt;1,"",COUNTIF(U9:U13,"✓"))</f>
        <v/>
      </c>
      <c r="V14" s="398">
        <f>IF(V$4&lt;&gt;1,"",COUNTIF(V9:V13,"✓"))</f>
        <v/>
      </c>
      <c r="W14" s="398">
        <f>IF(W$4&lt;&gt;1,"",COUNTIF(W9:W13,"✓"))</f>
        <v/>
      </c>
      <c r="X14" s="398">
        <f>IF(X$4&lt;&gt;1,"",COUNTIF(X9:X13,"✓"))</f>
        <v/>
      </c>
      <c r="Y14" s="398">
        <f>IF(Y$4&lt;&gt;1,"",COUNTIF(Y9:Y13,"✓"))</f>
        <v/>
      </c>
      <c r="Z14" s="398">
        <f>IF(Z$4&lt;&gt;1,"",COUNTIF(Z9:Z13,"✓"))</f>
        <v/>
      </c>
      <c r="AA14" s="398">
        <f>IF(AA$4&lt;&gt;1,"",COUNTIF(AA9:AA13,"✓"))</f>
        <v/>
      </c>
      <c r="AB14" s="398">
        <f>IF(AB$4&lt;&gt;1,"",COUNTIF(AB9:AB13,"✓"))</f>
        <v/>
      </c>
      <c r="AC14" s="398">
        <f>IF(AC$4&lt;&gt;1,"",COUNTIF(AC9:AC13,"✓"))</f>
        <v/>
      </c>
      <c r="AD14" s="398">
        <f>IF(AD$4&lt;&gt;1,"",COUNTIF(AD9:AD13,"✓"))</f>
        <v/>
      </c>
      <c r="AE14" s="398">
        <f>IF(AE$4&lt;&gt;1,"",COUNTIF(AE9:AE13,"✓"))</f>
        <v/>
      </c>
      <c r="AF14" s="398">
        <f>IF(AF$4&lt;&gt;1,"",COUNTIF(AF9:AF13,"✓"))</f>
        <v/>
      </c>
      <c r="AG14" s="398">
        <f>IF(AG$4&lt;&gt;1,"",COUNTIF(AG9:AG13,"✓"))</f>
        <v/>
      </c>
      <c r="AH14" s="398">
        <f>IF(AH$4&lt;&gt;1,"",COUNTIF(AH9:AH13,"✓"))</f>
        <v/>
      </c>
      <c r="AI14" s="640">
        <f>SUM(AI9:AI13)</f>
        <v/>
      </c>
      <c r="AJ14" s="641">
        <f>SUM(AJ9:AJ13)</f>
        <v/>
      </c>
      <c r="AK14" s="642">
        <f>IFERROR(AVERAGE(AK9:AK13),"")</f>
        <v/>
      </c>
      <c r="AL14" s="639">
        <f>IF(AL$4&lt;&gt;1,"",COUNTIF(AL9:AL13,"✓"))</f>
        <v/>
      </c>
      <c r="AM14" s="398">
        <f>IF(AM$4&lt;&gt;1,"",COUNTIF(AM9:AM13,"✓"))</f>
        <v/>
      </c>
      <c r="AN14" s="398">
        <f>IF(AN$4&lt;&gt;1,"",COUNTIF(AN9:AN13,"✓"))</f>
        <v/>
      </c>
      <c r="AO14" s="398">
        <f>IF(AO$4&lt;&gt;1,"",COUNTIF(AO9:AO13,"✓"))</f>
        <v/>
      </c>
      <c r="AP14" s="398">
        <f>IF(AP$4&lt;&gt;1,"",COUNTIF(AP9:AP13,"✓"))</f>
        <v/>
      </c>
      <c r="AQ14" s="398">
        <f>IF(AQ$4&lt;&gt;1,"",COUNTIF(AQ9:AQ13,"✓"))</f>
        <v/>
      </c>
      <c r="AR14" s="398">
        <f>IF(AR$4&lt;&gt;1,"",COUNTIF(AR9:AR13,"✓"))</f>
        <v/>
      </c>
      <c r="AS14" s="398">
        <f>IF(AS$4&lt;&gt;1,"",COUNTIF(AS9:AS13,"✓"))</f>
        <v/>
      </c>
      <c r="AT14" s="398">
        <f>IF(AT$4&lt;&gt;1,"",COUNTIF(AT9:AT13,"✓"))</f>
        <v/>
      </c>
      <c r="AU14" s="398">
        <f>IF(AU$4&lt;&gt;1,"",COUNTIF(AU9:AU13,"✓"))</f>
        <v/>
      </c>
      <c r="AV14" s="398">
        <f>IF(AV$4&lt;&gt;1,"",COUNTIF(AV9:AV13,"✓"))</f>
        <v/>
      </c>
      <c r="AW14" s="398">
        <f>IF(AW$4&lt;&gt;1,"",COUNTIF(AW9:AW13,"✓"))</f>
        <v/>
      </c>
      <c r="AX14" s="398">
        <f>IF(AX$4&lt;&gt;1,"",COUNTIF(AX9:AX13,"✓"))</f>
        <v/>
      </c>
      <c r="AY14" s="398">
        <f>IF(AY$4&lt;&gt;1,"",COUNTIF(AY9:AY13,"✓"))</f>
        <v/>
      </c>
      <c r="AZ14" s="398">
        <f>IF(AZ$4&lt;&gt;1,"",COUNTIF(AZ9:AZ13,"✓"))</f>
        <v/>
      </c>
      <c r="BA14" s="398">
        <f>IF(BA$4&lt;&gt;1,"",COUNTIF(BA9:BA13,"✓"))</f>
        <v/>
      </c>
      <c r="BB14" s="398">
        <f>IF(BB$4&lt;&gt;1,"",COUNTIF(BB9:BB13,"✓"))</f>
        <v/>
      </c>
      <c r="BC14" s="398">
        <f>IF(BC$4&lt;&gt;1,"",COUNTIF(BC9:BC13,"✓"))</f>
        <v/>
      </c>
      <c r="BD14" s="398">
        <f>IF(BD$4&lt;&gt;1,"",COUNTIF(BD9:BD13,"✓"))</f>
        <v/>
      </c>
      <c r="BE14" s="398">
        <f>IF(BE$4&lt;&gt;1,"",COUNTIF(BE9:BE13,"✓"))</f>
        <v/>
      </c>
      <c r="BF14" s="398">
        <f>IF(BF$4&lt;&gt;1,"",COUNTIF(BF9:BF13,"✓"))</f>
        <v/>
      </c>
      <c r="BG14" s="398">
        <f>IF(BG$4&lt;&gt;1,"",COUNTIF(BG9:BG13,"✓"))</f>
        <v/>
      </c>
      <c r="BH14" s="398">
        <f>IF(BH$4&lt;&gt;1,"",COUNTIF(BH9:BH13,"✓"))</f>
        <v/>
      </c>
      <c r="BI14" s="398">
        <f>IF(BI$4&lt;&gt;1,"",COUNTIF(BI9:BI13,"✓"))</f>
        <v/>
      </c>
      <c r="BJ14" s="398">
        <f>IF(BJ$4&lt;&gt;1,"",COUNTIF(BJ9:BJ13,"✓"))</f>
        <v/>
      </c>
      <c r="BK14" s="398">
        <f>IF(BK$4&lt;&gt;1,"",COUNTIF(BK9:BK13,"✓"))</f>
        <v/>
      </c>
      <c r="BL14" s="398">
        <f>IF(BL$4&lt;&gt;1,"",COUNTIF(BL9:BL13,"✓"))</f>
        <v/>
      </c>
      <c r="BM14" s="398">
        <f>IF(BM$4&lt;&gt;1,"",COUNTIF(BM9:BM13,"✓"))</f>
        <v/>
      </c>
      <c r="BN14" s="398">
        <f>IF(BN$4&lt;&gt;1,"",COUNTIF(BN9:BN13,"✓"))</f>
        <v/>
      </c>
      <c r="BO14" s="398">
        <f>IF(BO$4&lt;&gt;1,"",COUNTIF(BO9:BO13,"✓"))</f>
        <v/>
      </c>
      <c r="BP14" s="398">
        <f>IF(BP$4&lt;&gt;1,"",COUNTIF(BP9:BP13,"✓"))</f>
        <v/>
      </c>
      <c r="BQ14" s="640">
        <f>SUM(BQ9:BQ13)</f>
        <v/>
      </c>
      <c r="BR14" s="641">
        <f>SUM(BR9:BR13)</f>
        <v/>
      </c>
      <c r="BS14" s="642">
        <f>IFERROR(AVERAGE(BS9:BS13),"")</f>
        <v/>
      </c>
      <c r="BT14" s="639">
        <f>IF(BT$4&lt;&gt;1,"",COUNTIF(BT9:BT13,"✓"))</f>
        <v/>
      </c>
      <c r="BU14" s="398">
        <f>IF(BU$4&lt;&gt;1,"",COUNTIF(BU9:BU13,"✓"))</f>
        <v/>
      </c>
      <c r="BV14" s="398">
        <f>IF(BV$4&lt;&gt;1,"",COUNTIF(BV9:BV13,"✓"))</f>
        <v/>
      </c>
      <c r="BW14" s="398">
        <f>IF(BW$4&lt;&gt;1,"",COUNTIF(BW9:BW13,"✓"))</f>
        <v/>
      </c>
      <c r="BX14" s="398">
        <f>IF(BX$4&lt;&gt;1,"",COUNTIF(BX9:BX13,"✓"))</f>
        <v/>
      </c>
      <c r="BY14" s="398">
        <f>IF(BY$4&lt;&gt;1,"",COUNTIF(BY9:BY13,"✓"))</f>
        <v/>
      </c>
      <c r="BZ14" s="398">
        <f>IF(BZ$4&lt;&gt;1,"",COUNTIF(BZ9:BZ13,"✓"))</f>
        <v/>
      </c>
      <c r="CA14" s="398">
        <f>IF(CA$4&lt;&gt;1,"",COUNTIF(CA9:CA13,"✓"))</f>
        <v/>
      </c>
      <c r="CB14" s="398">
        <f>IF(CB$4&lt;&gt;1,"",COUNTIF(CB9:CB13,"✓"))</f>
        <v/>
      </c>
      <c r="CC14" s="398">
        <f>IF(CC$4&lt;&gt;1,"",COUNTIF(CC9:CC13,"✓"))</f>
        <v/>
      </c>
      <c r="CD14" s="398">
        <f>IF(CD$4&lt;&gt;1,"",COUNTIF(CD9:CD13,"✓"))</f>
        <v/>
      </c>
      <c r="CE14" s="398">
        <f>IF(CE$4&lt;&gt;1,"",COUNTIF(CE9:CE13,"✓"))</f>
        <v/>
      </c>
      <c r="CF14" s="398">
        <f>IF(CF$4&lt;&gt;1,"",COUNTIF(CF9:CF13,"✓"))</f>
        <v/>
      </c>
      <c r="CG14" s="398">
        <f>IF(CG$4&lt;&gt;1,"",COUNTIF(CG9:CG13,"✓"))</f>
        <v/>
      </c>
      <c r="CH14" s="398">
        <f>IF(CH$4&lt;&gt;1,"",COUNTIF(CH9:CH13,"✓"))</f>
        <v/>
      </c>
      <c r="CI14" s="398">
        <f>IF(CI$4&lt;&gt;1,"",COUNTIF(CI9:CI13,"✓"))</f>
        <v/>
      </c>
      <c r="CJ14" s="398">
        <f>IF(CJ$4&lt;&gt;1,"",COUNTIF(CJ9:CJ13,"✓"))</f>
        <v/>
      </c>
      <c r="CK14" s="398">
        <f>IF(CK$4&lt;&gt;1,"",COUNTIF(CK9:CK13,"✓"))</f>
        <v/>
      </c>
      <c r="CL14" s="398">
        <f>IF(CL$4&lt;&gt;1,"",COUNTIF(CL9:CL13,"✓"))</f>
        <v/>
      </c>
      <c r="CM14" s="398">
        <f>IF(CM$4&lt;&gt;1,"",COUNTIF(CM9:CM13,"✓"))</f>
        <v/>
      </c>
      <c r="CN14" s="398">
        <f>IF(CN$4&lt;&gt;1,"",COUNTIF(CN9:CN13,"✓"))</f>
        <v/>
      </c>
      <c r="CO14" s="398">
        <f>IF(CO$4&lt;&gt;1,"",COUNTIF(CO9:CO13,"✓"))</f>
        <v/>
      </c>
      <c r="CP14" s="398">
        <f>IF(CP$4&lt;&gt;1,"",COUNTIF(CP9:CP13,"✓"))</f>
        <v/>
      </c>
      <c r="CQ14" s="398">
        <f>IF(CQ$4&lt;&gt;1,"",COUNTIF(CQ9:CQ13,"✓"))</f>
        <v/>
      </c>
      <c r="CR14" s="398">
        <f>IF(CR$4&lt;&gt;1,"",COUNTIF(CR9:CR13,"✓"))</f>
        <v/>
      </c>
      <c r="CS14" s="398">
        <f>IF(CS$4&lt;&gt;1,"",COUNTIF(CS9:CS13,"✓"))</f>
        <v/>
      </c>
      <c r="CT14" s="398">
        <f>IF(CT$4&lt;&gt;1,"",COUNTIF(CT9:CT13,"✓"))</f>
        <v/>
      </c>
      <c r="CU14" s="398">
        <f>IF(CU$4&lt;&gt;1,"",COUNTIF(CU9:CU13,"✓"))</f>
        <v/>
      </c>
      <c r="CV14" s="398">
        <f>IF(CV$4&lt;&gt;1,"",COUNTIF(CV9:CV13,"✓"))</f>
        <v/>
      </c>
      <c r="CW14" s="398">
        <f>IF(CW$4&lt;&gt;1,"",COUNTIF(CW9:CW13,"✓"))</f>
        <v/>
      </c>
      <c r="CX14" s="398">
        <f>IF(CX$4&lt;&gt;1,"",COUNTIF(CX9:CX13,"✓"))</f>
        <v/>
      </c>
      <c r="CY14" s="640">
        <f>SUM(CY9:CY13)</f>
        <v/>
      </c>
      <c r="CZ14" s="641">
        <f>SUM(CZ9:CZ13)</f>
        <v/>
      </c>
      <c r="DA14" s="642">
        <f>IFERROR(AVERAGE(DA9:DA13),"")</f>
        <v/>
      </c>
      <c r="DB14" s="639">
        <f>IF(DB$4&lt;&gt;1,"",COUNTIF(DB9:DB13,"✓"))</f>
        <v/>
      </c>
      <c r="DC14" s="398">
        <f>IF(DC$4&lt;&gt;1,"",COUNTIF(DC9:DC13,"✓"))</f>
        <v/>
      </c>
      <c r="DD14" s="398">
        <f>IF(DD$4&lt;&gt;1,"",COUNTIF(DD9:DD13,"✓"))</f>
        <v/>
      </c>
      <c r="DE14" s="398">
        <f>IF(DE$4&lt;&gt;1,"",COUNTIF(DE9:DE13,"✓"))</f>
        <v/>
      </c>
      <c r="DF14" s="398">
        <f>IF(DF$4&lt;&gt;1,"",COUNTIF(DF9:DF13,"✓"))</f>
        <v/>
      </c>
      <c r="DG14" s="398">
        <f>IF(DG$4&lt;&gt;1,"",COUNTIF(DG9:DG13,"✓"))</f>
        <v/>
      </c>
      <c r="DH14" s="398">
        <f>IF(DH$4&lt;&gt;1,"",COUNTIF(DH9:DH13,"✓"))</f>
        <v/>
      </c>
      <c r="DI14" s="398">
        <f>IF(DI$4&lt;&gt;1,"",COUNTIF(DI9:DI13,"✓"))</f>
        <v/>
      </c>
      <c r="DJ14" s="398">
        <f>IF(DJ$4&lt;&gt;1,"",COUNTIF(DJ9:DJ13,"✓"))</f>
        <v/>
      </c>
      <c r="DK14" s="398">
        <f>IF(DK$4&lt;&gt;1,"",COUNTIF(DK9:DK13,"✓"))</f>
        <v/>
      </c>
      <c r="DL14" s="398">
        <f>IF(DL$4&lt;&gt;1,"",COUNTIF(DL9:DL13,"✓"))</f>
        <v/>
      </c>
      <c r="DM14" s="398">
        <f>IF(DM$4&lt;&gt;1,"",COUNTIF(DM9:DM13,"✓"))</f>
        <v/>
      </c>
      <c r="DN14" s="398">
        <f>IF(DN$4&lt;&gt;1,"",COUNTIF(DN9:DN13,"✓"))</f>
        <v/>
      </c>
      <c r="DO14" s="398">
        <f>IF(DO$4&lt;&gt;1,"",COUNTIF(DO9:DO13,"✓"))</f>
        <v/>
      </c>
      <c r="DP14" s="398">
        <f>IF(DP$4&lt;&gt;1,"",COUNTIF(DP9:DP13,"✓"))</f>
        <v/>
      </c>
      <c r="DQ14" s="398">
        <f>IF(DQ$4&lt;&gt;1,"",COUNTIF(DQ9:DQ13,"✓"))</f>
        <v/>
      </c>
      <c r="DR14" s="398">
        <f>IF(DR$4&lt;&gt;1,"",COUNTIF(DR9:DR13,"✓"))</f>
        <v/>
      </c>
      <c r="DS14" s="398">
        <f>IF(DS$4&lt;&gt;1,"",COUNTIF(DS9:DS13,"✓"))</f>
        <v/>
      </c>
      <c r="DT14" s="398">
        <f>IF(DT$4&lt;&gt;1,"",COUNTIF(DT9:DT13,"✓"))</f>
        <v/>
      </c>
      <c r="DU14" s="398">
        <f>IF(DU$4&lt;&gt;1,"",COUNTIF(DU9:DU13,"✓"))</f>
        <v/>
      </c>
      <c r="DV14" s="398">
        <f>IF(DV$4&lt;&gt;1,"",COUNTIF(DV9:DV13,"✓"))</f>
        <v/>
      </c>
      <c r="DW14" s="398">
        <f>IF(DW$4&lt;&gt;1,"",COUNTIF(DW9:DW13,"✓"))</f>
        <v/>
      </c>
      <c r="DX14" s="398">
        <f>IF(DX$4&lt;&gt;1,"",COUNTIF(DX9:DX13,"✓"))</f>
        <v/>
      </c>
      <c r="DY14" s="398">
        <f>IF(DY$4&lt;&gt;1,"",COUNTIF(DY9:DY13,"✓"))</f>
        <v/>
      </c>
      <c r="DZ14" s="398">
        <f>IF(DZ$4&lt;&gt;1,"",COUNTIF(DZ9:DZ13,"✓"))</f>
        <v/>
      </c>
      <c r="EA14" s="398">
        <f>IF(EA$4&lt;&gt;1,"",COUNTIF(EA9:EA13,"✓"))</f>
        <v/>
      </c>
      <c r="EB14" s="398">
        <f>IF(EB$4&lt;&gt;1,"",COUNTIF(EB9:EB13,"✓"))</f>
        <v/>
      </c>
      <c r="EC14" s="398">
        <f>IF(EC$4&lt;&gt;1,"",COUNTIF(EC9:EC13,"✓"))</f>
        <v/>
      </c>
      <c r="ED14" s="398">
        <f>IF(ED$4&lt;&gt;1,"",COUNTIF(ED9:ED13,"✓"))</f>
        <v/>
      </c>
      <c r="EE14" s="398">
        <f>IF(EE$4&lt;&gt;1,"",COUNTIF(EE9:EE13,"✓"))</f>
        <v/>
      </c>
      <c r="EF14" s="398">
        <f>IF(EF$4&lt;&gt;1,"",COUNTIF(EF9:EF13,"✓"))</f>
        <v/>
      </c>
      <c r="EG14" s="640">
        <f>SUM(EG9:EG13)</f>
        <v/>
      </c>
      <c r="EH14" s="641">
        <f>SUM(EH9:EH13)</f>
        <v/>
      </c>
      <c r="EI14" s="642">
        <f>IFERROR(AVERAGE(EI9:EI13),"")</f>
        <v/>
      </c>
      <c r="EJ14" s="639">
        <f>IF(EJ$4&lt;&gt;1,"",COUNTIF(EJ9:EJ13,"✓"))</f>
        <v/>
      </c>
      <c r="EK14" s="398">
        <f>IF(EK$4&lt;&gt;1,"",COUNTIF(EK9:EK13,"✓"))</f>
        <v/>
      </c>
      <c r="EL14" s="398">
        <f>IF(EL$4&lt;&gt;1,"",COUNTIF(EL9:EL13,"✓"))</f>
        <v/>
      </c>
      <c r="EM14" s="398">
        <f>IF(EM$4&lt;&gt;1,"",COUNTIF(EM9:EM13,"✓"))</f>
        <v/>
      </c>
      <c r="EN14" s="398">
        <f>IF(EN$4&lt;&gt;1,"",COUNTIF(EN9:EN13,"✓"))</f>
        <v/>
      </c>
      <c r="EO14" s="398">
        <f>IF(EO$4&lt;&gt;1,"",COUNTIF(EO9:EO13,"✓"))</f>
        <v/>
      </c>
      <c r="EP14" s="398">
        <f>IF(EP$4&lt;&gt;1,"",COUNTIF(EP9:EP13,"✓"))</f>
        <v/>
      </c>
      <c r="EQ14" s="398">
        <f>IF(EQ$4&lt;&gt;1,"",COUNTIF(EQ9:EQ13,"✓"))</f>
        <v/>
      </c>
      <c r="ER14" s="398">
        <f>IF(ER$4&lt;&gt;1,"",COUNTIF(ER9:ER13,"✓"))</f>
        <v/>
      </c>
      <c r="ES14" s="398">
        <f>IF(ES$4&lt;&gt;1,"",COUNTIF(ES9:ES13,"✓"))</f>
        <v/>
      </c>
      <c r="ET14" s="398">
        <f>IF(ET$4&lt;&gt;1,"",COUNTIF(ET9:ET13,"✓"))</f>
        <v/>
      </c>
      <c r="EU14" s="398">
        <f>IF(EU$4&lt;&gt;1,"",COUNTIF(EU9:EU13,"✓"))</f>
        <v/>
      </c>
      <c r="EV14" s="398">
        <f>IF(EV$4&lt;&gt;1,"",COUNTIF(EV9:EV13,"✓"))</f>
        <v/>
      </c>
      <c r="EW14" s="398">
        <f>IF(EW$4&lt;&gt;1,"",COUNTIF(EW9:EW13,"✓"))</f>
        <v/>
      </c>
      <c r="EX14" s="398">
        <f>IF(EX$4&lt;&gt;1,"",COUNTIF(EX9:EX13,"✓"))</f>
        <v/>
      </c>
      <c r="EY14" s="398">
        <f>IF(EY$4&lt;&gt;1,"",COUNTIF(EY9:EY13,"✓"))</f>
        <v/>
      </c>
      <c r="EZ14" s="398">
        <f>IF(EZ$4&lt;&gt;1,"",COUNTIF(EZ9:EZ13,"✓"))</f>
        <v/>
      </c>
      <c r="FA14" s="398">
        <f>IF(FA$4&lt;&gt;1,"",COUNTIF(FA9:FA13,"✓"))</f>
        <v/>
      </c>
      <c r="FB14" s="398">
        <f>IF(FB$4&lt;&gt;1,"",COUNTIF(FB9:FB13,"✓"))</f>
        <v/>
      </c>
      <c r="FC14" s="398">
        <f>IF(FC$4&lt;&gt;1,"",COUNTIF(FC9:FC13,"✓"))</f>
        <v/>
      </c>
      <c r="FD14" s="398">
        <f>IF(FD$4&lt;&gt;1,"",COUNTIF(FD9:FD13,"✓"))</f>
        <v/>
      </c>
      <c r="FE14" s="398">
        <f>IF(FE$4&lt;&gt;1,"",COUNTIF(FE9:FE13,"✓"))</f>
        <v/>
      </c>
      <c r="FF14" s="398">
        <f>IF(FF$4&lt;&gt;1,"",COUNTIF(FF9:FF13,"✓"))</f>
        <v/>
      </c>
      <c r="FG14" s="398">
        <f>IF(FG$4&lt;&gt;1,"",COUNTIF(FG9:FG13,"✓"))</f>
        <v/>
      </c>
      <c r="FH14" s="398">
        <f>IF(FH$4&lt;&gt;1,"",COUNTIF(FH9:FH13,"✓"))</f>
        <v/>
      </c>
      <c r="FI14" s="398">
        <f>IF(FI$4&lt;&gt;1,"",COUNTIF(FI9:FI13,"✓"))</f>
        <v/>
      </c>
      <c r="FJ14" s="398">
        <f>IF(FJ$4&lt;&gt;1,"",COUNTIF(FJ9:FJ13,"✓"))</f>
        <v/>
      </c>
      <c r="FK14" s="398">
        <f>IF(FK$4&lt;&gt;1,"",COUNTIF(FK9:FK13,"✓"))</f>
        <v/>
      </c>
      <c r="FL14" s="398">
        <f>IF(FL$4&lt;&gt;1,"",COUNTIF(FL9:FL13,"✓"))</f>
        <v/>
      </c>
      <c r="FM14" s="398">
        <f>IF(FM$4&lt;&gt;1,"",COUNTIF(FM9:FM13,"✓"))</f>
        <v/>
      </c>
      <c r="FN14" s="398">
        <f>IF(FN$4&lt;&gt;1,"",COUNTIF(FN9:FN13,"✓"))</f>
        <v/>
      </c>
      <c r="FO14" s="640">
        <f>SUM(FO9:FO13)</f>
        <v/>
      </c>
      <c r="FP14" s="641">
        <f>SUM(FP9:FP13)</f>
        <v/>
      </c>
      <c r="FQ14" s="642">
        <f>IFERROR(AVERAGE(FQ9:FQ13),"")</f>
        <v/>
      </c>
      <c r="FR14" s="639">
        <f>IF(FR$4&lt;&gt;1,"",COUNTIF(FR9:FR13,"✓"))</f>
        <v/>
      </c>
      <c r="FS14" s="398">
        <f>IF(FS$4&lt;&gt;1,"",COUNTIF(FS9:FS13,"✓"))</f>
        <v/>
      </c>
      <c r="FT14" s="398">
        <f>IF(FT$4&lt;&gt;1,"",COUNTIF(FT9:FT13,"✓"))</f>
        <v/>
      </c>
      <c r="FU14" s="398">
        <f>IF(FU$4&lt;&gt;1,"",COUNTIF(FU9:FU13,"✓"))</f>
        <v/>
      </c>
      <c r="FV14" s="398">
        <f>IF(FV$4&lt;&gt;1,"",COUNTIF(FV9:FV13,"✓"))</f>
        <v/>
      </c>
      <c r="FW14" s="398">
        <f>IF(FW$4&lt;&gt;1,"",COUNTIF(FW9:FW13,"✓"))</f>
        <v/>
      </c>
      <c r="FX14" s="398">
        <f>IF(FX$4&lt;&gt;1,"",COUNTIF(FX9:FX13,"✓"))</f>
        <v/>
      </c>
      <c r="FY14" s="398">
        <f>IF(FY$4&lt;&gt;1,"",COUNTIF(FY9:FY13,"✓"))</f>
        <v/>
      </c>
      <c r="FZ14" s="398">
        <f>IF(FZ$4&lt;&gt;1,"",COUNTIF(FZ9:FZ13,"✓"))</f>
        <v/>
      </c>
      <c r="GA14" s="398">
        <f>IF(GA$4&lt;&gt;1,"",COUNTIF(GA9:GA13,"✓"))</f>
        <v/>
      </c>
      <c r="GB14" s="398">
        <f>IF(GB$4&lt;&gt;1,"",COUNTIF(GB9:GB13,"✓"))</f>
        <v/>
      </c>
      <c r="GC14" s="398">
        <f>IF(GC$4&lt;&gt;1,"",COUNTIF(GC9:GC13,"✓"))</f>
        <v/>
      </c>
      <c r="GD14" s="398">
        <f>IF(GD$4&lt;&gt;1,"",COUNTIF(GD9:GD13,"✓"))</f>
        <v/>
      </c>
      <c r="GE14" s="398">
        <f>IF(GE$4&lt;&gt;1,"",COUNTIF(GE9:GE13,"✓"))</f>
        <v/>
      </c>
      <c r="GF14" s="398">
        <f>IF(GF$4&lt;&gt;1,"",COUNTIF(GF9:GF13,"✓"))</f>
        <v/>
      </c>
      <c r="GG14" s="398">
        <f>IF(GG$4&lt;&gt;1,"",COUNTIF(GG9:GG13,"✓"))</f>
        <v/>
      </c>
      <c r="GH14" s="398">
        <f>IF(GH$4&lt;&gt;1,"",COUNTIF(GH9:GH13,"✓"))</f>
        <v/>
      </c>
      <c r="GI14" s="398">
        <f>IF(GI$4&lt;&gt;1,"",COUNTIF(GI9:GI13,"✓"))</f>
        <v/>
      </c>
      <c r="GJ14" s="398">
        <f>IF(GJ$4&lt;&gt;1,"",COUNTIF(GJ9:GJ13,"✓"))</f>
        <v/>
      </c>
      <c r="GK14" s="398">
        <f>IF(GK$4&lt;&gt;1,"",COUNTIF(GK9:GK13,"✓"))</f>
        <v/>
      </c>
      <c r="GL14" s="398">
        <f>IF(GL$4&lt;&gt;1,"",COUNTIF(GL9:GL13,"✓"))</f>
        <v/>
      </c>
      <c r="GM14" s="398">
        <f>IF(GM$4&lt;&gt;1,"",COUNTIF(GM9:GM13,"✓"))</f>
        <v/>
      </c>
      <c r="GN14" s="398">
        <f>IF(GN$4&lt;&gt;1,"",COUNTIF(GN9:GN13,"✓"))</f>
        <v/>
      </c>
      <c r="GO14" s="398">
        <f>IF(GO$4&lt;&gt;1,"",COUNTIF(GO9:GO13,"✓"))</f>
        <v/>
      </c>
      <c r="GP14" s="398">
        <f>IF(GP$4&lt;&gt;1,"",COUNTIF(GP9:GP13,"✓"))</f>
        <v/>
      </c>
      <c r="GQ14" s="398">
        <f>IF(GQ$4&lt;&gt;1,"",COUNTIF(GQ9:GQ13,"✓"))</f>
        <v/>
      </c>
      <c r="GR14" s="398">
        <f>IF(GR$4&lt;&gt;1,"",COUNTIF(GR9:GR13,"✓"))</f>
        <v/>
      </c>
      <c r="GS14" s="398">
        <f>IF(GS$4&lt;&gt;1,"",COUNTIF(GS9:GS13,"✓"))</f>
        <v/>
      </c>
      <c r="GT14" s="398">
        <f>IF(GT$4&lt;&gt;1,"",COUNTIF(GT9:GT13,"✓"))</f>
        <v/>
      </c>
      <c r="GU14" s="398">
        <f>IF(GU$4&lt;&gt;1,"",COUNTIF(GU9:GU13,"✓"))</f>
        <v/>
      </c>
      <c r="GV14" s="398">
        <f>IF(GV$4&lt;&gt;1,"",COUNTIF(GV9:GV13,"✓"))</f>
        <v/>
      </c>
      <c r="GW14" s="640">
        <f>SUM(GW9:GW13)</f>
        <v/>
      </c>
      <c r="GX14" s="641">
        <f>SUM(GX9:GX13)</f>
        <v/>
      </c>
      <c r="GY14" s="642">
        <f>IFERROR(AVERAGE(GY9:GY13),"")</f>
        <v/>
      </c>
    </row>
    <row r="15">
      <c r="A15" s="638" t="inlineStr">
        <is>
          <t>ไม่เข้าร่วม (คน)</t>
        </is>
      </c>
      <c r="B15" s="184" t="n"/>
      <c r="C15" s="184" t="n"/>
      <c r="D15" s="639">
        <f>IF(D$4&lt;&gt;1,"",COUNTIF(D9:D13,"✗"))</f>
        <v/>
      </c>
      <c r="E15" s="398">
        <f>IF(E$4&lt;&gt;1,"",COUNTIF(E9:E13,"✗"))</f>
        <v/>
      </c>
      <c r="F15" s="398">
        <f>IF(F$4&lt;&gt;1,"",COUNTIF(F9:F13,"✗"))</f>
        <v/>
      </c>
      <c r="G15" s="398">
        <f>IF(G$4&lt;&gt;1,"",COUNTIF(G9:G13,"✗"))</f>
        <v/>
      </c>
      <c r="H15" s="398">
        <f>IF(H$4&lt;&gt;1,"",COUNTIF(H9:H13,"✗"))</f>
        <v/>
      </c>
      <c r="I15" s="398">
        <f>IF(I$4&lt;&gt;1,"",COUNTIF(I9:I13,"✗"))</f>
        <v/>
      </c>
      <c r="J15" s="398">
        <f>IF(J$4&lt;&gt;1,"",COUNTIF(J9:J13,"✗"))</f>
        <v/>
      </c>
      <c r="K15" s="398">
        <f>IF(K$4&lt;&gt;1,"",COUNTIF(K9:K13,"✗"))</f>
        <v/>
      </c>
      <c r="L15" s="398">
        <f>IF(L$4&lt;&gt;1,"",COUNTIF(L9:L13,"✗"))</f>
        <v/>
      </c>
      <c r="M15" s="398">
        <f>IF(M$4&lt;&gt;1,"",COUNTIF(M9:M13,"✗"))</f>
        <v/>
      </c>
      <c r="N15" s="398">
        <f>IF(N$4&lt;&gt;1,"",COUNTIF(N9:N13,"✗"))</f>
        <v/>
      </c>
      <c r="O15" s="398">
        <f>IF(O$4&lt;&gt;1,"",COUNTIF(O9:O13,"✗"))</f>
        <v/>
      </c>
      <c r="P15" s="398">
        <f>IF(P$4&lt;&gt;1,"",COUNTIF(P9:P13,"✗"))</f>
        <v/>
      </c>
      <c r="Q15" s="398">
        <f>IF(Q$4&lt;&gt;1,"",COUNTIF(Q9:Q13,"✗"))</f>
        <v/>
      </c>
      <c r="R15" s="398">
        <f>IF(R$4&lt;&gt;1,"",COUNTIF(R9:R13,"✗"))</f>
        <v/>
      </c>
      <c r="S15" s="398">
        <f>IF(S$4&lt;&gt;1,"",COUNTIF(S9:S13,"✗"))</f>
        <v/>
      </c>
      <c r="T15" s="398">
        <f>IF(T$4&lt;&gt;1,"",COUNTIF(T9:T13,"✗"))</f>
        <v/>
      </c>
      <c r="U15" s="398">
        <f>IF(U$4&lt;&gt;1,"",COUNTIF(U9:U13,"✗"))</f>
        <v/>
      </c>
      <c r="V15" s="398">
        <f>IF(V$4&lt;&gt;1,"",COUNTIF(V9:V13,"✗"))</f>
        <v/>
      </c>
      <c r="W15" s="398">
        <f>IF(W$4&lt;&gt;1,"",COUNTIF(W9:W13,"✗"))</f>
        <v/>
      </c>
      <c r="X15" s="398">
        <f>IF(X$4&lt;&gt;1,"",COUNTIF(X9:X13,"✗"))</f>
        <v/>
      </c>
      <c r="Y15" s="398">
        <f>IF(Y$4&lt;&gt;1,"",COUNTIF(Y9:Y13,"✗"))</f>
        <v/>
      </c>
      <c r="Z15" s="398">
        <f>IF(Z$4&lt;&gt;1,"",COUNTIF(Z9:Z13,"✗"))</f>
        <v/>
      </c>
      <c r="AA15" s="398">
        <f>IF(AA$4&lt;&gt;1,"",COUNTIF(AA9:AA13,"✗"))</f>
        <v/>
      </c>
      <c r="AB15" s="398">
        <f>IF(AB$4&lt;&gt;1,"",COUNTIF(AB9:AB13,"✗"))</f>
        <v/>
      </c>
      <c r="AC15" s="398">
        <f>IF(AC$4&lt;&gt;1,"",COUNTIF(AC9:AC13,"✗"))</f>
        <v/>
      </c>
      <c r="AD15" s="398">
        <f>IF(AD$4&lt;&gt;1,"",COUNTIF(AD9:AD13,"✗"))</f>
        <v/>
      </c>
      <c r="AE15" s="398">
        <f>IF(AE$4&lt;&gt;1,"",COUNTIF(AE9:AE13,"✗"))</f>
        <v/>
      </c>
      <c r="AF15" s="398">
        <f>IF(AF$4&lt;&gt;1,"",COUNTIF(AF9:AF13,"✗"))</f>
        <v/>
      </c>
      <c r="AG15" s="398">
        <f>IF(AG$4&lt;&gt;1,"",COUNTIF(AG9:AG13,"✗"))</f>
        <v/>
      </c>
      <c r="AH15" s="398">
        <f>IF(AH$4&lt;&gt;1,"",COUNTIF(AH9:AH13,"✗"))</f>
        <v/>
      </c>
      <c r="AI15" s="640" t="n"/>
      <c r="AJ15" s="641" t="n"/>
      <c r="AK15" s="642" t="n"/>
      <c r="AL15" s="639">
        <f>IF(AL$4&lt;&gt;1,"",COUNTIF(AL9:AL13,"✗"))</f>
        <v/>
      </c>
      <c r="AM15" s="398">
        <f>IF(AM$4&lt;&gt;1,"",COUNTIF(AM9:AM13,"✗"))</f>
        <v/>
      </c>
      <c r="AN15" s="398">
        <f>IF(AN$4&lt;&gt;1,"",COUNTIF(AN9:AN13,"✗"))</f>
        <v/>
      </c>
      <c r="AO15" s="398">
        <f>IF(AO$4&lt;&gt;1,"",COUNTIF(AO9:AO13,"✗"))</f>
        <v/>
      </c>
      <c r="AP15" s="398">
        <f>IF(AP$4&lt;&gt;1,"",COUNTIF(AP9:AP13,"✗"))</f>
        <v/>
      </c>
      <c r="AQ15" s="398">
        <f>IF(AQ$4&lt;&gt;1,"",COUNTIF(AQ9:AQ13,"✗"))</f>
        <v/>
      </c>
      <c r="AR15" s="398">
        <f>IF(AR$4&lt;&gt;1,"",COUNTIF(AR9:AR13,"✗"))</f>
        <v/>
      </c>
      <c r="AS15" s="398">
        <f>IF(AS$4&lt;&gt;1,"",COUNTIF(AS9:AS13,"✗"))</f>
        <v/>
      </c>
      <c r="AT15" s="398">
        <f>IF(AT$4&lt;&gt;1,"",COUNTIF(AT9:AT13,"✗"))</f>
        <v/>
      </c>
      <c r="AU15" s="398">
        <f>IF(AU$4&lt;&gt;1,"",COUNTIF(AU9:AU13,"✗"))</f>
        <v/>
      </c>
      <c r="AV15" s="398">
        <f>IF(AV$4&lt;&gt;1,"",COUNTIF(AV9:AV13,"✗"))</f>
        <v/>
      </c>
      <c r="AW15" s="398">
        <f>IF(AW$4&lt;&gt;1,"",COUNTIF(AW9:AW13,"✗"))</f>
        <v/>
      </c>
      <c r="AX15" s="398">
        <f>IF(AX$4&lt;&gt;1,"",COUNTIF(AX9:AX13,"✗"))</f>
        <v/>
      </c>
      <c r="AY15" s="398">
        <f>IF(AY$4&lt;&gt;1,"",COUNTIF(AY9:AY13,"✗"))</f>
        <v/>
      </c>
      <c r="AZ15" s="398">
        <f>IF(AZ$4&lt;&gt;1,"",COUNTIF(AZ9:AZ13,"✗"))</f>
        <v/>
      </c>
      <c r="BA15" s="398">
        <f>IF(BA$4&lt;&gt;1,"",COUNTIF(BA9:BA13,"✗"))</f>
        <v/>
      </c>
      <c r="BB15" s="398">
        <f>IF(BB$4&lt;&gt;1,"",COUNTIF(BB9:BB13,"✗"))</f>
        <v/>
      </c>
      <c r="BC15" s="398">
        <f>IF(BC$4&lt;&gt;1,"",COUNTIF(BC9:BC13,"✗"))</f>
        <v/>
      </c>
      <c r="BD15" s="398">
        <f>IF(BD$4&lt;&gt;1,"",COUNTIF(BD9:BD13,"✗"))</f>
        <v/>
      </c>
      <c r="BE15" s="398">
        <f>IF(BE$4&lt;&gt;1,"",COUNTIF(BE9:BE13,"✗"))</f>
        <v/>
      </c>
      <c r="BF15" s="398">
        <f>IF(BF$4&lt;&gt;1,"",COUNTIF(BF9:BF13,"✗"))</f>
        <v/>
      </c>
      <c r="BG15" s="398">
        <f>IF(BG$4&lt;&gt;1,"",COUNTIF(BG9:BG13,"✗"))</f>
        <v/>
      </c>
      <c r="BH15" s="398">
        <f>IF(BH$4&lt;&gt;1,"",COUNTIF(BH9:BH13,"✗"))</f>
        <v/>
      </c>
      <c r="BI15" s="398">
        <f>IF(BI$4&lt;&gt;1,"",COUNTIF(BI9:BI13,"✗"))</f>
        <v/>
      </c>
      <c r="BJ15" s="398">
        <f>IF(BJ$4&lt;&gt;1,"",COUNTIF(BJ9:BJ13,"✗"))</f>
        <v/>
      </c>
      <c r="BK15" s="398">
        <f>IF(BK$4&lt;&gt;1,"",COUNTIF(BK9:BK13,"✗"))</f>
        <v/>
      </c>
      <c r="BL15" s="398">
        <f>IF(BL$4&lt;&gt;1,"",COUNTIF(BL9:BL13,"✗"))</f>
        <v/>
      </c>
      <c r="BM15" s="398">
        <f>IF(BM$4&lt;&gt;1,"",COUNTIF(BM9:BM13,"✗"))</f>
        <v/>
      </c>
      <c r="BN15" s="398">
        <f>IF(BN$4&lt;&gt;1,"",COUNTIF(BN9:BN13,"✗"))</f>
        <v/>
      </c>
      <c r="BO15" s="398">
        <f>IF(BO$4&lt;&gt;1,"",COUNTIF(BO9:BO13,"✗"))</f>
        <v/>
      </c>
      <c r="BP15" s="398">
        <f>IF(BP$4&lt;&gt;1,"",COUNTIF(BP9:BP13,"✗"))</f>
        <v/>
      </c>
      <c r="BQ15" s="640" t="n"/>
      <c r="BR15" s="641" t="n"/>
      <c r="BS15" s="642" t="n"/>
      <c r="BT15" s="639">
        <f>IF(BT$4&lt;&gt;1,"",COUNTIF(BT9:BT13,"✗"))</f>
        <v/>
      </c>
      <c r="BU15" s="398">
        <f>IF(BU$4&lt;&gt;1,"",COUNTIF(BU9:BU13,"✗"))</f>
        <v/>
      </c>
      <c r="BV15" s="398">
        <f>IF(BV$4&lt;&gt;1,"",COUNTIF(BV9:BV13,"✗"))</f>
        <v/>
      </c>
      <c r="BW15" s="398">
        <f>IF(BW$4&lt;&gt;1,"",COUNTIF(BW9:BW13,"✗"))</f>
        <v/>
      </c>
      <c r="BX15" s="398">
        <f>IF(BX$4&lt;&gt;1,"",COUNTIF(BX9:BX13,"✗"))</f>
        <v/>
      </c>
      <c r="BY15" s="398">
        <f>IF(BY$4&lt;&gt;1,"",COUNTIF(BY9:BY13,"✗"))</f>
        <v/>
      </c>
      <c r="BZ15" s="398">
        <f>IF(BZ$4&lt;&gt;1,"",COUNTIF(BZ9:BZ13,"✗"))</f>
        <v/>
      </c>
      <c r="CA15" s="398">
        <f>IF(CA$4&lt;&gt;1,"",COUNTIF(CA9:CA13,"✗"))</f>
        <v/>
      </c>
      <c r="CB15" s="398">
        <f>IF(CB$4&lt;&gt;1,"",COUNTIF(CB9:CB13,"✗"))</f>
        <v/>
      </c>
      <c r="CC15" s="398">
        <f>IF(CC$4&lt;&gt;1,"",COUNTIF(CC9:CC13,"✗"))</f>
        <v/>
      </c>
      <c r="CD15" s="398">
        <f>IF(CD$4&lt;&gt;1,"",COUNTIF(CD9:CD13,"✗"))</f>
        <v/>
      </c>
      <c r="CE15" s="398">
        <f>IF(CE$4&lt;&gt;1,"",COUNTIF(CE9:CE13,"✗"))</f>
        <v/>
      </c>
      <c r="CF15" s="398">
        <f>IF(CF$4&lt;&gt;1,"",COUNTIF(CF9:CF13,"✗"))</f>
        <v/>
      </c>
      <c r="CG15" s="398">
        <f>IF(CG$4&lt;&gt;1,"",COUNTIF(CG9:CG13,"✗"))</f>
        <v/>
      </c>
      <c r="CH15" s="398">
        <f>IF(CH$4&lt;&gt;1,"",COUNTIF(CH9:CH13,"✗"))</f>
        <v/>
      </c>
      <c r="CI15" s="398">
        <f>IF(CI$4&lt;&gt;1,"",COUNTIF(CI9:CI13,"✗"))</f>
        <v/>
      </c>
      <c r="CJ15" s="398">
        <f>IF(CJ$4&lt;&gt;1,"",COUNTIF(CJ9:CJ13,"✗"))</f>
        <v/>
      </c>
      <c r="CK15" s="398">
        <f>IF(CK$4&lt;&gt;1,"",COUNTIF(CK9:CK13,"✗"))</f>
        <v/>
      </c>
      <c r="CL15" s="398">
        <f>IF(CL$4&lt;&gt;1,"",COUNTIF(CL9:CL13,"✗"))</f>
        <v/>
      </c>
      <c r="CM15" s="398">
        <f>IF(CM$4&lt;&gt;1,"",COUNTIF(CM9:CM13,"✗"))</f>
        <v/>
      </c>
      <c r="CN15" s="398">
        <f>IF(CN$4&lt;&gt;1,"",COUNTIF(CN9:CN13,"✗"))</f>
        <v/>
      </c>
      <c r="CO15" s="398">
        <f>IF(CO$4&lt;&gt;1,"",COUNTIF(CO9:CO13,"✗"))</f>
        <v/>
      </c>
      <c r="CP15" s="398">
        <f>IF(CP$4&lt;&gt;1,"",COUNTIF(CP9:CP13,"✗"))</f>
        <v/>
      </c>
      <c r="CQ15" s="398">
        <f>IF(CQ$4&lt;&gt;1,"",COUNTIF(CQ9:CQ13,"✗"))</f>
        <v/>
      </c>
      <c r="CR15" s="398">
        <f>IF(CR$4&lt;&gt;1,"",COUNTIF(CR9:CR13,"✗"))</f>
        <v/>
      </c>
      <c r="CS15" s="398">
        <f>IF(CS$4&lt;&gt;1,"",COUNTIF(CS9:CS13,"✗"))</f>
        <v/>
      </c>
      <c r="CT15" s="398">
        <f>IF(CT$4&lt;&gt;1,"",COUNTIF(CT9:CT13,"✗"))</f>
        <v/>
      </c>
      <c r="CU15" s="398">
        <f>IF(CU$4&lt;&gt;1,"",COUNTIF(CU9:CU13,"✗"))</f>
        <v/>
      </c>
      <c r="CV15" s="398">
        <f>IF(CV$4&lt;&gt;1,"",COUNTIF(CV9:CV13,"✗"))</f>
        <v/>
      </c>
      <c r="CW15" s="398">
        <f>IF(CW$4&lt;&gt;1,"",COUNTIF(CW9:CW13,"✗"))</f>
        <v/>
      </c>
      <c r="CX15" s="398">
        <f>IF(CX$4&lt;&gt;1,"",COUNTIF(CX9:CX13,"✗"))</f>
        <v/>
      </c>
      <c r="CY15" s="640" t="n"/>
      <c r="CZ15" s="641" t="n"/>
      <c r="DA15" s="642" t="n"/>
      <c r="DB15" s="639">
        <f>IF(DB$4&lt;&gt;1,"",COUNTIF(DB9:DB13,"✗"))</f>
        <v/>
      </c>
      <c r="DC15" s="398">
        <f>IF(DC$4&lt;&gt;1,"",COUNTIF(DC9:DC13,"✗"))</f>
        <v/>
      </c>
      <c r="DD15" s="398">
        <f>IF(DD$4&lt;&gt;1,"",COUNTIF(DD9:DD13,"✗"))</f>
        <v/>
      </c>
      <c r="DE15" s="398">
        <f>IF(DE$4&lt;&gt;1,"",COUNTIF(DE9:DE13,"✗"))</f>
        <v/>
      </c>
      <c r="DF15" s="398">
        <f>IF(DF$4&lt;&gt;1,"",COUNTIF(DF9:DF13,"✗"))</f>
        <v/>
      </c>
      <c r="DG15" s="398">
        <f>IF(DG$4&lt;&gt;1,"",COUNTIF(DG9:DG13,"✗"))</f>
        <v/>
      </c>
      <c r="DH15" s="398">
        <f>IF(DH$4&lt;&gt;1,"",COUNTIF(DH9:DH13,"✗"))</f>
        <v/>
      </c>
      <c r="DI15" s="398">
        <f>IF(DI$4&lt;&gt;1,"",COUNTIF(DI9:DI13,"✗"))</f>
        <v/>
      </c>
      <c r="DJ15" s="398">
        <f>IF(DJ$4&lt;&gt;1,"",COUNTIF(DJ9:DJ13,"✗"))</f>
        <v/>
      </c>
      <c r="DK15" s="398">
        <f>IF(DK$4&lt;&gt;1,"",COUNTIF(DK9:DK13,"✗"))</f>
        <v/>
      </c>
      <c r="DL15" s="398">
        <f>IF(DL$4&lt;&gt;1,"",COUNTIF(DL9:DL13,"✗"))</f>
        <v/>
      </c>
      <c r="DM15" s="398">
        <f>IF(DM$4&lt;&gt;1,"",COUNTIF(DM9:DM13,"✗"))</f>
        <v/>
      </c>
      <c r="DN15" s="398">
        <f>IF(DN$4&lt;&gt;1,"",COUNTIF(DN9:DN13,"✗"))</f>
        <v/>
      </c>
      <c r="DO15" s="398">
        <f>IF(DO$4&lt;&gt;1,"",COUNTIF(DO9:DO13,"✗"))</f>
        <v/>
      </c>
      <c r="DP15" s="398">
        <f>IF(DP$4&lt;&gt;1,"",COUNTIF(DP9:DP13,"✗"))</f>
        <v/>
      </c>
      <c r="DQ15" s="398">
        <f>IF(DQ$4&lt;&gt;1,"",COUNTIF(DQ9:DQ13,"✗"))</f>
        <v/>
      </c>
      <c r="DR15" s="398">
        <f>IF(DR$4&lt;&gt;1,"",COUNTIF(DR9:DR13,"✗"))</f>
        <v/>
      </c>
      <c r="DS15" s="398">
        <f>IF(DS$4&lt;&gt;1,"",COUNTIF(DS9:DS13,"✗"))</f>
        <v/>
      </c>
      <c r="DT15" s="398">
        <f>IF(DT$4&lt;&gt;1,"",COUNTIF(DT9:DT13,"✗"))</f>
        <v/>
      </c>
      <c r="DU15" s="398">
        <f>IF(DU$4&lt;&gt;1,"",COUNTIF(DU9:DU13,"✗"))</f>
        <v/>
      </c>
      <c r="DV15" s="398">
        <f>IF(DV$4&lt;&gt;1,"",COUNTIF(DV9:DV13,"✗"))</f>
        <v/>
      </c>
      <c r="DW15" s="398">
        <f>IF(DW$4&lt;&gt;1,"",COUNTIF(DW9:DW13,"✗"))</f>
        <v/>
      </c>
      <c r="DX15" s="398">
        <f>IF(DX$4&lt;&gt;1,"",COUNTIF(DX9:DX13,"✗"))</f>
        <v/>
      </c>
      <c r="DY15" s="398">
        <f>IF(DY$4&lt;&gt;1,"",COUNTIF(DY9:DY13,"✗"))</f>
        <v/>
      </c>
      <c r="DZ15" s="398">
        <f>IF(DZ$4&lt;&gt;1,"",COUNTIF(DZ9:DZ13,"✗"))</f>
        <v/>
      </c>
      <c r="EA15" s="398">
        <f>IF(EA$4&lt;&gt;1,"",COUNTIF(EA9:EA13,"✗"))</f>
        <v/>
      </c>
      <c r="EB15" s="398">
        <f>IF(EB$4&lt;&gt;1,"",COUNTIF(EB9:EB13,"✗"))</f>
        <v/>
      </c>
      <c r="EC15" s="398">
        <f>IF(EC$4&lt;&gt;1,"",COUNTIF(EC9:EC13,"✗"))</f>
        <v/>
      </c>
      <c r="ED15" s="398">
        <f>IF(ED$4&lt;&gt;1,"",COUNTIF(ED9:ED13,"✗"))</f>
        <v/>
      </c>
      <c r="EE15" s="398">
        <f>IF(EE$4&lt;&gt;1,"",COUNTIF(EE9:EE13,"✗"))</f>
        <v/>
      </c>
      <c r="EF15" s="398">
        <f>IF(EF$4&lt;&gt;1,"",COUNTIF(EF9:EF13,"✗"))</f>
        <v/>
      </c>
      <c r="EG15" s="640" t="n"/>
      <c r="EH15" s="641" t="n"/>
      <c r="EI15" s="642" t="n"/>
      <c r="EJ15" s="639">
        <f>IF(EJ$4&lt;&gt;1,"",COUNTIF(EJ9:EJ13,"✗"))</f>
        <v/>
      </c>
      <c r="EK15" s="398">
        <f>IF(EK$4&lt;&gt;1,"",COUNTIF(EK9:EK13,"✗"))</f>
        <v/>
      </c>
      <c r="EL15" s="398">
        <f>IF(EL$4&lt;&gt;1,"",COUNTIF(EL9:EL13,"✗"))</f>
        <v/>
      </c>
      <c r="EM15" s="398">
        <f>IF(EM$4&lt;&gt;1,"",COUNTIF(EM9:EM13,"✗"))</f>
        <v/>
      </c>
      <c r="EN15" s="398">
        <f>IF(EN$4&lt;&gt;1,"",COUNTIF(EN9:EN13,"✗"))</f>
        <v/>
      </c>
      <c r="EO15" s="398">
        <f>IF(EO$4&lt;&gt;1,"",COUNTIF(EO9:EO13,"✗"))</f>
        <v/>
      </c>
      <c r="EP15" s="398">
        <f>IF(EP$4&lt;&gt;1,"",COUNTIF(EP9:EP13,"✗"))</f>
        <v/>
      </c>
      <c r="EQ15" s="398">
        <f>IF(EQ$4&lt;&gt;1,"",COUNTIF(EQ9:EQ13,"✗"))</f>
        <v/>
      </c>
      <c r="ER15" s="398">
        <f>IF(ER$4&lt;&gt;1,"",COUNTIF(ER9:ER13,"✗"))</f>
        <v/>
      </c>
      <c r="ES15" s="398">
        <f>IF(ES$4&lt;&gt;1,"",COUNTIF(ES9:ES13,"✗"))</f>
        <v/>
      </c>
      <c r="ET15" s="398">
        <f>IF(ET$4&lt;&gt;1,"",COUNTIF(ET9:ET13,"✗"))</f>
        <v/>
      </c>
      <c r="EU15" s="398">
        <f>IF(EU$4&lt;&gt;1,"",COUNTIF(EU9:EU13,"✗"))</f>
        <v/>
      </c>
      <c r="EV15" s="398">
        <f>IF(EV$4&lt;&gt;1,"",COUNTIF(EV9:EV13,"✗"))</f>
        <v/>
      </c>
      <c r="EW15" s="398">
        <f>IF(EW$4&lt;&gt;1,"",COUNTIF(EW9:EW13,"✗"))</f>
        <v/>
      </c>
      <c r="EX15" s="398">
        <f>IF(EX$4&lt;&gt;1,"",COUNTIF(EX9:EX13,"✗"))</f>
        <v/>
      </c>
      <c r="EY15" s="398">
        <f>IF(EY$4&lt;&gt;1,"",COUNTIF(EY9:EY13,"✗"))</f>
        <v/>
      </c>
      <c r="EZ15" s="398">
        <f>IF(EZ$4&lt;&gt;1,"",COUNTIF(EZ9:EZ13,"✗"))</f>
        <v/>
      </c>
      <c r="FA15" s="398">
        <f>IF(FA$4&lt;&gt;1,"",COUNTIF(FA9:FA13,"✗"))</f>
        <v/>
      </c>
      <c r="FB15" s="398">
        <f>IF(FB$4&lt;&gt;1,"",COUNTIF(FB9:FB13,"✗"))</f>
        <v/>
      </c>
      <c r="FC15" s="398">
        <f>IF(FC$4&lt;&gt;1,"",COUNTIF(FC9:FC13,"✗"))</f>
        <v/>
      </c>
      <c r="FD15" s="398">
        <f>IF(FD$4&lt;&gt;1,"",COUNTIF(FD9:FD13,"✗"))</f>
        <v/>
      </c>
      <c r="FE15" s="398">
        <f>IF(FE$4&lt;&gt;1,"",COUNTIF(FE9:FE13,"✗"))</f>
        <v/>
      </c>
      <c r="FF15" s="398">
        <f>IF(FF$4&lt;&gt;1,"",COUNTIF(FF9:FF13,"✗"))</f>
        <v/>
      </c>
      <c r="FG15" s="398">
        <f>IF(FG$4&lt;&gt;1,"",COUNTIF(FG9:FG13,"✗"))</f>
        <v/>
      </c>
      <c r="FH15" s="398">
        <f>IF(FH$4&lt;&gt;1,"",COUNTIF(FH9:FH13,"✗"))</f>
        <v/>
      </c>
      <c r="FI15" s="398">
        <f>IF(FI$4&lt;&gt;1,"",COUNTIF(FI9:FI13,"✗"))</f>
        <v/>
      </c>
      <c r="FJ15" s="398">
        <f>IF(FJ$4&lt;&gt;1,"",COUNTIF(FJ9:FJ13,"✗"))</f>
        <v/>
      </c>
      <c r="FK15" s="398">
        <f>IF(FK$4&lt;&gt;1,"",COUNTIF(FK9:FK13,"✗"))</f>
        <v/>
      </c>
      <c r="FL15" s="398">
        <f>IF(FL$4&lt;&gt;1,"",COUNTIF(FL9:FL13,"✗"))</f>
        <v/>
      </c>
      <c r="FM15" s="398">
        <f>IF(FM$4&lt;&gt;1,"",COUNTIF(FM9:FM13,"✗"))</f>
        <v/>
      </c>
      <c r="FN15" s="398">
        <f>IF(FN$4&lt;&gt;1,"",COUNTIF(FN9:FN13,"✗"))</f>
        <v/>
      </c>
      <c r="FO15" s="640" t="n"/>
      <c r="FP15" s="641" t="n"/>
      <c r="FQ15" s="642" t="n"/>
      <c r="FR15" s="639">
        <f>IF(FR$4&lt;&gt;1,"",COUNTIF(FR9:FR13,"✗"))</f>
        <v/>
      </c>
      <c r="FS15" s="398">
        <f>IF(FS$4&lt;&gt;1,"",COUNTIF(FS9:FS13,"✗"))</f>
        <v/>
      </c>
      <c r="FT15" s="398">
        <f>IF(FT$4&lt;&gt;1,"",COUNTIF(FT9:FT13,"✗"))</f>
        <v/>
      </c>
      <c r="FU15" s="398">
        <f>IF(FU$4&lt;&gt;1,"",COUNTIF(FU9:FU13,"✗"))</f>
        <v/>
      </c>
      <c r="FV15" s="398">
        <f>IF(FV$4&lt;&gt;1,"",COUNTIF(FV9:FV13,"✗"))</f>
        <v/>
      </c>
      <c r="FW15" s="398">
        <f>IF(FW$4&lt;&gt;1,"",COUNTIF(FW9:FW13,"✗"))</f>
        <v/>
      </c>
      <c r="FX15" s="398">
        <f>IF(FX$4&lt;&gt;1,"",COUNTIF(FX9:FX13,"✗"))</f>
        <v/>
      </c>
      <c r="FY15" s="398">
        <f>IF(FY$4&lt;&gt;1,"",COUNTIF(FY9:FY13,"✗"))</f>
        <v/>
      </c>
      <c r="FZ15" s="398">
        <f>IF(FZ$4&lt;&gt;1,"",COUNTIF(FZ9:FZ13,"✗"))</f>
        <v/>
      </c>
      <c r="GA15" s="398">
        <f>IF(GA$4&lt;&gt;1,"",COUNTIF(GA9:GA13,"✗"))</f>
        <v/>
      </c>
      <c r="GB15" s="398">
        <f>IF(GB$4&lt;&gt;1,"",COUNTIF(GB9:GB13,"✗"))</f>
        <v/>
      </c>
      <c r="GC15" s="398">
        <f>IF(GC$4&lt;&gt;1,"",COUNTIF(GC9:GC13,"✗"))</f>
        <v/>
      </c>
      <c r="GD15" s="398">
        <f>IF(GD$4&lt;&gt;1,"",COUNTIF(GD9:GD13,"✗"))</f>
        <v/>
      </c>
      <c r="GE15" s="398">
        <f>IF(GE$4&lt;&gt;1,"",COUNTIF(GE9:GE13,"✗"))</f>
        <v/>
      </c>
      <c r="GF15" s="398">
        <f>IF(GF$4&lt;&gt;1,"",COUNTIF(GF9:GF13,"✗"))</f>
        <v/>
      </c>
      <c r="GG15" s="398">
        <f>IF(GG$4&lt;&gt;1,"",COUNTIF(GG9:GG13,"✗"))</f>
        <v/>
      </c>
      <c r="GH15" s="398">
        <f>IF(GH$4&lt;&gt;1,"",COUNTIF(GH9:GH13,"✗"))</f>
        <v/>
      </c>
      <c r="GI15" s="398">
        <f>IF(GI$4&lt;&gt;1,"",COUNTIF(GI9:GI13,"✗"))</f>
        <v/>
      </c>
      <c r="GJ15" s="398">
        <f>IF(GJ$4&lt;&gt;1,"",COUNTIF(GJ9:GJ13,"✗"))</f>
        <v/>
      </c>
      <c r="GK15" s="398">
        <f>IF(GK$4&lt;&gt;1,"",COUNTIF(GK9:GK13,"✗"))</f>
        <v/>
      </c>
      <c r="GL15" s="398">
        <f>IF(GL$4&lt;&gt;1,"",COUNTIF(GL9:GL13,"✗"))</f>
        <v/>
      </c>
      <c r="GM15" s="398">
        <f>IF(GM$4&lt;&gt;1,"",COUNTIF(GM9:GM13,"✗"))</f>
        <v/>
      </c>
      <c r="GN15" s="398">
        <f>IF(GN$4&lt;&gt;1,"",COUNTIF(GN9:GN13,"✗"))</f>
        <v/>
      </c>
      <c r="GO15" s="398">
        <f>IF(GO$4&lt;&gt;1,"",COUNTIF(GO9:GO13,"✗"))</f>
        <v/>
      </c>
      <c r="GP15" s="398">
        <f>IF(GP$4&lt;&gt;1,"",COUNTIF(GP9:GP13,"✗"))</f>
        <v/>
      </c>
      <c r="GQ15" s="398">
        <f>IF(GQ$4&lt;&gt;1,"",COUNTIF(GQ9:GQ13,"✗"))</f>
        <v/>
      </c>
      <c r="GR15" s="398">
        <f>IF(GR$4&lt;&gt;1,"",COUNTIF(GR9:GR13,"✗"))</f>
        <v/>
      </c>
      <c r="GS15" s="398">
        <f>IF(GS$4&lt;&gt;1,"",COUNTIF(GS9:GS13,"✗"))</f>
        <v/>
      </c>
      <c r="GT15" s="398">
        <f>IF(GT$4&lt;&gt;1,"",COUNTIF(GT9:GT13,"✗"))</f>
        <v/>
      </c>
      <c r="GU15" s="398">
        <f>IF(GU$4&lt;&gt;1,"",COUNTIF(GU9:GU13,"✗"))</f>
        <v/>
      </c>
      <c r="GV15" s="398">
        <f>IF(GV$4&lt;&gt;1,"",COUNTIF(GV9:GV13,"✗"))</f>
        <v/>
      </c>
      <c r="GW15" s="640" t="n"/>
      <c r="GX15" s="641" t="n"/>
      <c r="GY15" s="642" t="n"/>
    </row>
    <row r="16">
      <c r="A16" s="638" t="inlineStr"/>
      <c r="B16" s="184" t="n"/>
      <c r="C16" s="184" t="n"/>
      <c r="D16" s="643" t="n"/>
      <c r="E16" s="644" t="n"/>
      <c r="F16" s="644" t="n"/>
      <c r="G16" s="644" t="n"/>
      <c r="H16" s="644" t="n"/>
      <c r="I16" s="644" t="n"/>
      <c r="J16" s="644" t="n"/>
      <c r="K16" s="644" t="n"/>
      <c r="L16" s="644" t="n"/>
      <c r="M16" s="644" t="n"/>
      <c r="N16" s="644" t="n"/>
      <c r="O16" s="644" t="n"/>
      <c r="P16" s="644" t="n"/>
      <c r="Q16" s="644" t="n"/>
      <c r="R16" s="644" t="n"/>
      <c r="S16" s="644" t="n"/>
      <c r="T16" s="644" t="n"/>
      <c r="U16" s="644" t="n"/>
      <c r="V16" s="644" t="n"/>
      <c r="W16" s="644" t="n"/>
      <c r="X16" s="644" t="n"/>
      <c r="Y16" s="644" t="n"/>
      <c r="Z16" s="644" t="n"/>
      <c r="AA16" s="644" t="n"/>
      <c r="AB16" s="644" t="n"/>
      <c r="AC16" s="644" t="n"/>
      <c r="AD16" s="644" t="n"/>
      <c r="AE16" s="644" t="n"/>
      <c r="AF16" s="644" t="n"/>
      <c r="AG16" s="644" t="n"/>
      <c r="AH16" s="644" t="n"/>
      <c r="AI16" s="640" t="n"/>
      <c r="AJ16" s="641" t="n"/>
      <c r="AK16" s="642" t="n"/>
      <c r="AL16" s="643" t="n"/>
      <c r="AM16" s="644" t="n"/>
      <c r="AN16" s="644" t="n"/>
      <c r="AO16" s="644" t="n"/>
      <c r="AP16" s="644" t="n"/>
      <c r="AQ16" s="644" t="n"/>
      <c r="AR16" s="644" t="n"/>
      <c r="AS16" s="644" t="n"/>
      <c r="AT16" s="644" t="n"/>
      <c r="AU16" s="644" t="n"/>
      <c r="AV16" s="644" t="n"/>
      <c r="AW16" s="644" t="n"/>
      <c r="AX16" s="644" t="n"/>
      <c r="AY16" s="644" t="n"/>
      <c r="AZ16" s="644" t="n"/>
      <c r="BA16" s="644" t="n"/>
      <c r="BB16" s="644" t="n"/>
      <c r="BC16" s="644" t="n"/>
      <c r="BD16" s="644" t="n"/>
      <c r="BE16" s="644" t="n"/>
      <c r="BF16" s="644" t="n"/>
      <c r="BG16" s="644" t="n"/>
      <c r="BH16" s="644" t="n"/>
      <c r="BI16" s="644" t="n"/>
      <c r="BJ16" s="644" t="n"/>
      <c r="BK16" s="644" t="n"/>
      <c r="BL16" s="644" t="n"/>
      <c r="BM16" s="644" t="n"/>
      <c r="BN16" s="644" t="n"/>
      <c r="BO16" s="644" t="n"/>
      <c r="BP16" s="644" t="n"/>
      <c r="BQ16" s="640" t="n"/>
      <c r="BR16" s="641" t="n"/>
      <c r="BS16" s="642" t="n"/>
      <c r="BT16" s="643" t="n"/>
      <c r="BU16" s="644" t="n"/>
      <c r="BV16" s="644" t="n"/>
      <c r="BW16" s="644" t="n"/>
      <c r="BX16" s="644" t="n"/>
      <c r="BY16" s="644" t="n"/>
      <c r="BZ16" s="644" t="n"/>
      <c r="CA16" s="644" t="n"/>
      <c r="CB16" s="644" t="n"/>
      <c r="CC16" s="644" t="n"/>
      <c r="CD16" s="644" t="n"/>
      <c r="CE16" s="644" t="n"/>
      <c r="CF16" s="644" t="n"/>
      <c r="CG16" s="644" t="n"/>
      <c r="CH16" s="644" t="n"/>
      <c r="CI16" s="644" t="n"/>
      <c r="CJ16" s="644" t="n"/>
      <c r="CK16" s="644" t="n"/>
      <c r="CL16" s="644" t="n"/>
      <c r="CM16" s="644" t="n"/>
      <c r="CN16" s="644" t="n"/>
      <c r="CO16" s="644" t="n"/>
      <c r="CP16" s="644" t="n"/>
      <c r="CQ16" s="644" t="n"/>
      <c r="CR16" s="644" t="n"/>
      <c r="CS16" s="644" t="n"/>
      <c r="CT16" s="644" t="n"/>
      <c r="CU16" s="644" t="n"/>
      <c r="CV16" s="644" t="n"/>
      <c r="CW16" s="644" t="n"/>
      <c r="CX16" s="644" t="n"/>
      <c r="CY16" s="640" t="n"/>
      <c r="CZ16" s="641" t="n"/>
      <c r="DA16" s="642" t="n"/>
      <c r="DB16" s="643" t="n"/>
      <c r="DC16" s="644" t="n"/>
      <c r="DD16" s="644" t="n"/>
      <c r="DE16" s="644" t="n"/>
      <c r="DF16" s="644" t="n"/>
      <c r="DG16" s="644" t="n"/>
      <c r="DH16" s="644" t="n"/>
      <c r="DI16" s="644" t="n"/>
      <c r="DJ16" s="644" t="n"/>
      <c r="DK16" s="644" t="n"/>
      <c r="DL16" s="644" t="n"/>
      <c r="DM16" s="644" t="n"/>
      <c r="DN16" s="644" t="n"/>
      <c r="DO16" s="644" t="n"/>
      <c r="DP16" s="644" t="n"/>
      <c r="DQ16" s="644" t="n"/>
      <c r="DR16" s="644" t="n"/>
      <c r="DS16" s="644" t="n"/>
      <c r="DT16" s="644" t="n"/>
      <c r="DU16" s="644" t="n"/>
      <c r="DV16" s="644" t="n"/>
      <c r="DW16" s="644" t="n"/>
      <c r="DX16" s="644" t="n"/>
      <c r="DY16" s="644" t="n"/>
      <c r="DZ16" s="644" t="n"/>
      <c r="EA16" s="644" t="n"/>
      <c r="EB16" s="644" t="n"/>
      <c r="EC16" s="644" t="n"/>
      <c r="ED16" s="644" t="n"/>
      <c r="EE16" s="644" t="n"/>
      <c r="EF16" s="644" t="n"/>
      <c r="EG16" s="640" t="n"/>
      <c r="EH16" s="641" t="n"/>
      <c r="EI16" s="642" t="n"/>
      <c r="EJ16" s="643" t="n"/>
      <c r="EK16" s="644" t="n"/>
      <c r="EL16" s="644" t="n"/>
      <c r="EM16" s="644" t="n"/>
      <c r="EN16" s="644" t="n"/>
      <c r="EO16" s="644" t="n"/>
      <c r="EP16" s="644" t="n"/>
      <c r="EQ16" s="644" t="n"/>
      <c r="ER16" s="644" t="n"/>
      <c r="ES16" s="644" t="n"/>
      <c r="ET16" s="644" t="n"/>
      <c r="EU16" s="644" t="n"/>
      <c r="EV16" s="644" t="n"/>
      <c r="EW16" s="644" t="n"/>
      <c r="EX16" s="644" t="n"/>
      <c r="EY16" s="644" t="n"/>
      <c r="EZ16" s="644" t="n"/>
      <c r="FA16" s="644" t="n"/>
      <c r="FB16" s="644" t="n"/>
      <c r="FC16" s="644" t="n"/>
      <c r="FD16" s="644" t="n"/>
      <c r="FE16" s="644" t="n"/>
      <c r="FF16" s="644" t="n"/>
      <c r="FG16" s="644" t="n"/>
      <c r="FH16" s="644" t="n"/>
      <c r="FI16" s="644" t="n"/>
      <c r="FJ16" s="644" t="n"/>
      <c r="FK16" s="644" t="n"/>
      <c r="FL16" s="644" t="n"/>
      <c r="FM16" s="644" t="n"/>
      <c r="FN16" s="644" t="n"/>
      <c r="FO16" s="640" t="n"/>
      <c r="FP16" s="641" t="n"/>
      <c r="FQ16" s="642" t="n"/>
      <c r="FR16" s="643" t="n"/>
      <c r="FS16" s="644" t="n"/>
      <c r="FT16" s="644" t="n"/>
      <c r="FU16" s="644" t="n"/>
      <c r="FV16" s="644" t="n"/>
      <c r="FW16" s="644" t="n"/>
      <c r="FX16" s="644" t="n"/>
      <c r="FY16" s="644" t="n"/>
      <c r="FZ16" s="644" t="n"/>
      <c r="GA16" s="644" t="n"/>
      <c r="GB16" s="644" t="n"/>
      <c r="GC16" s="644" t="n"/>
      <c r="GD16" s="644" t="n"/>
      <c r="GE16" s="644" t="n"/>
      <c r="GF16" s="644" t="n"/>
      <c r="GG16" s="644" t="n"/>
      <c r="GH16" s="644" t="n"/>
      <c r="GI16" s="644" t="n"/>
      <c r="GJ16" s="644" t="n"/>
      <c r="GK16" s="644" t="n"/>
      <c r="GL16" s="644" t="n"/>
      <c r="GM16" s="644" t="n"/>
      <c r="GN16" s="644" t="n"/>
      <c r="GO16" s="644" t="n"/>
      <c r="GP16" s="644" t="n"/>
      <c r="GQ16" s="644" t="n"/>
      <c r="GR16" s="644" t="n"/>
      <c r="GS16" s="644" t="n"/>
      <c r="GT16" s="644" t="n"/>
      <c r="GU16" s="644" t="n"/>
      <c r="GV16" s="644" t="n"/>
      <c r="GW16" s="640" t="n"/>
      <c r="GX16" s="641" t="n"/>
      <c r="GY16" s="642" t="n"/>
    </row>
    <row r="17" ht="92" customHeight="1">
      <c r="A17" s="638" t="inlineStr">
        <is>
          <t>หัวข้อ / กิจกรรม</t>
        </is>
      </c>
      <c r="B17" s="184" t="n"/>
      <c r="C17" s="184" t="n"/>
      <c r="D17" s="645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640" t="n"/>
      <c r="AJ17" s="641" t="n"/>
      <c r="AK17" s="642" t="n"/>
      <c r="AL17" s="645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640" t="n"/>
      <c r="BR17" s="641" t="n"/>
      <c r="BS17" s="642" t="n"/>
      <c r="BT17" s="645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640" t="n"/>
      <c r="CZ17" s="641" t="n"/>
      <c r="DA17" s="642" t="n"/>
      <c r="DB17" s="645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640" t="n"/>
      <c r="EH17" s="641" t="n"/>
      <c r="EI17" s="642" t="n"/>
      <c r="EJ17" s="645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640" t="n"/>
      <c r="FP17" s="641" t="n"/>
      <c r="FQ17" s="642" t="n"/>
      <c r="FR17" s="645" t="n"/>
      <c r="FS17" s="527" t="n"/>
      <c r="FT17" s="527" t="n"/>
      <c r="FU17" s="527" t="n"/>
      <c r="FV17" s="527" t="n"/>
      <c r="FW17" s="527" t="n"/>
      <c r="FX17" s="527" t="n"/>
      <c r="FY17" s="527" t="n"/>
      <c r="FZ17" s="527" t="n"/>
      <c r="GA17" s="527" t="n"/>
      <c r="GB17" s="527" t="n"/>
      <c r="GC17" s="527" t="n"/>
      <c r="GD17" s="527" t="n"/>
      <c r="GE17" s="527" t="n"/>
      <c r="GF17" s="527" t="n"/>
      <c r="GG17" s="527" t="n"/>
      <c r="GH17" s="527" t="n"/>
      <c r="GI17" s="527" t="n"/>
      <c r="GJ17" s="527" t="n"/>
      <c r="GK17" s="527" t="n"/>
      <c r="GL17" s="527" t="n"/>
      <c r="GM17" s="527" t="n"/>
      <c r="GN17" s="527" t="n"/>
      <c r="GO17" s="527" t="n"/>
      <c r="GP17" s="527" t="n"/>
      <c r="GQ17" s="527" t="n"/>
      <c r="GR17" s="527" t="n"/>
      <c r="GS17" s="527" t="n"/>
      <c r="GT17" s="527" t="n"/>
      <c r="GU17" s="527" t="n"/>
      <c r="GV17" s="527" t="n"/>
      <c r="GW17" s="640" t="n"/>
      <c r="GX17" s="641" t="n"/>
      <c r="GY17" s="642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FR9:GV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tabColor rgb="00A184F6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618" t="inlineStr">
        <is>
          <t>🏠</t>
        </is>
      </c>
      <c r="B1" s="619" t="n"/>
      <c r="C1" s="619" t="n"/>
      <c r="D1" s="619" t="n"/>
      <c r="E1" s="619" t="n"/>
      <c r="F1" s="619" t="n"/>
      <c r="G1" s="619" t="n"/>
      <c r="H1" s="619" t="n"/>
      <c r="I1" s="619" t="n"/>
      <c r="J1" s="619" t="n"/>
      <c r="K1" s="619" t="n"/>
      <c r="L1" s="619" t="n"/>
      <c r="M1" s="619" t="n"/>
      <c r="N1" s="619" t="n"/>
      <c r="O1" s="619" t="n"/>
      <c r="P1" s="619" t="n"/>
      <c r="Q1" s="619" t="n"/>
      <c r="R1" s="619" t="n"/>
      <c r="S1" s="619" t="n"/>
      <c r="T1" s="619" t="n"/>
      <c r="U1" s="619" t="n"/>
      <c r="V1" s="619" t="n"/>
      <c r="W1" s="619" t="n"/>
      <c r="X1" s="619" t="n"/>
      <c r="Y1" s="619" t="n"/>
      <c r="Z1" s="619" t="n"/>
      <c r="AA1" s="619" t="n"/>
      <c r="AB1" s="619" t="n"/>
      <c r="AC1" s="619" t="n"/>
      <c r="AD1" s="619" t="n"/>
      <c r="AE1" s="619" t="n"/>
      <c r="AF1" s="619" t="n"/>
      <c r="AG1" s="619" t="n"/>
      <c r="AH1" s="619" t="n"/>
      <c r="AI1" s="619" t="n"/>
      <c r="AJ1" s="619" t="n"/>
      <c r="AK1" s="619" t="n"/>
      <c r="AL1" s="619" t="n"/>
      <c r="AM1" s="619" t="n"/>
      <c r="AN1" s="619" t="n"/>
      <c r="AO1" s="619" t="n"/>
      <c r="AP1" s="619" t="n"/>
      <c r="AQ1" s="619" t="n"/>
      <c r="AR1" s="619" t="n"/>
      <c r="AS1" s="619" t="n"/>
      <c r="AT1" s="619" t="n"/>
      <c r="AU1" s="619" t="n"/>
      <c r="AV1" s="619" t="n"/>
      <c r="AW1" s="619" t="n"/>
      <c r="AX1" s="619" t="n"/>
      <c r="AY1" s="619" t="n"/>
      <c r="AZ1" s="619" t="n"/>
      <c r="BA1" s="619" t="n"/>
      <c r="BB1" s="619" t="n"/>
      <c r="BC1" s="619" t="n"/>
      <c r="BD1" s="619" t="n"/>
      <c r="BE1" s="619" t="n"/>
      <c r="BF1" s="619" t="n"/>
      <c r="BG1" s="619" t="n"/>
      <c r="BH1" s="619" t="n"/>
      <c r="BI1" s="619" t="n"/>
      <c r="BJ1" s="619" t="n"/>
      <c r="BK1" s="619" t="n"/>
      <c r="BL1" s="619" t="n"/>
      <c r="BM1" s="619" t="n"/>
      <c r="BN1" s="619" t="n"/>
      <c r="BO1" s="619" t="n"/>
      <c r="BP1" s="619" t="n"/>
      <c r="BQ1" s="619" t="n"/>
      <c r="BR1" s="619" t="n"/>
      <c r="BS1" s="619" t="n"/>
      <c r="BT1" s="619" t="n"/>
      <c r="BU1" s="619" t="n"/>
      <c r="BV1" s="619" t="n"/>
      <c r="BW1" s="619" t="n"/>
      <c r="BX1" s="619" t="n"/>
      <c r="BY1" s="619" t="n"/>
      <c r="BZ1" s="619" t="n"/>
      <c r="CA1" s="619" t="n"/>
      <c r="CB1" s="619" t="n"/>
      <c r="CC1" s="619" t="n"/>
      <c r="CD1" s="619" t="n"/>
      <c r="CE1" s="619" t="n"/>
      <c r="CF1" s="619" t="n"/>
      <c r="CG1" s="619" t="n"/>
      <c r="CH1" s="619" t="n"/>
      <c r="CI1" s="619" t="n"/>
      <c r="CJ1" s="619" t="n"/>
      <c r="CK1" s="619" t="n"/>
      <c r="CL1" s="619" t="n"/>
      <c r="CM1" s="619" t="n"/>
      <c r="CN1" s="619" t="n"/>
      <c r="CO1" s="619" t="n"/>
      <c r="CP1" s="619" t="n"/>
      <c r="CQ1" s="619" t="n"/>
      <c r="CR1" s="619" t="n"/>
      <c r="CS1" s="619" t="n"/>
      <c r="CT1" s="619" t="n"/>
      <c r="CU1" s="619" t="n"/>
      <c r="CV1" s="619" t="n"/>
      <c r="CW1" s="619" t="n"/>
      <c r="CX1" s="619" t="n"/>
      <c r="CY1" s="619" t="n"/>
      <c r="CZ1" s="619" t="n"/>
      <c r="DA1" s="619" t="n"/>
      <c r="DB1" s="619" t="n"/>
      <c r="DC1" s="619" t="n"/>
      <c r="DD1" s="619" t="n"/>
      <c r="DE1" s="619" t="n"/>
      <c r="DF1" s="619" t="n"/>
      <c r="DG1" s="619" t="n"/>
      <c r="DH1" s="619" t="n"/>
      <c r="DI1" s="619" t="n"/>
      <c r="DJ1" s="619" t="n"/>
      <c r="DK1" s="619" t="n"/>
      <c r="DL1" s="619" t="n"/>
      <c r="DM1" s="619" t="n"/>
      <c r="DN1" s="619" t="n"/>
      <c r="DO1" s="619" t="n"/>
      <c r="DP1" s="619" t="n"/>
      <c r="DQ1" s="619" t="n"/>
      <c r="DR1" s="619" t="n"/>
      <c r="DS1" s="619" t="n"/>
      <c r="DT1" s="619" t="n"/>
      <c r="DU1" s="619" t="n"/>
      <c r="DV1" s="619" t="n"/>
      <c r="DW1" s="619" t="n"/>
      <c r="DX1" s="619" t="n"/>
      <c r="DY1" s="619" t="n"/>
      <c r="DZ1" s="619" t="n"/>
      <c r="EA1" s="619" t="n"/>
      <c r="EB1" s="619" t="n"/>
      <c r="EC1" s="619" t="n"/>
      <c r="ED1" s="619" t="n"/>
      <c r="EE1" s="619" t="n"/>
      <c r="EF1" s="619" t="n"/>
      <c r="EG1" s="619" t="n"/>
      <c r="EH1" s="619" t="n"/>
      <c r="EI1" s="619" t="n"/>
      <c r="EJ1" s="619" t="n"/>
      <c r="EK1" s="619" t="n"/>
      <c r="EL1" s="619" t="n"/>
      <c r="EM1" s="619" t="n"/>
      <c r="EN1" s="619" t="n"/>
      <c r="EO1" s="619" t="n"/>
      <c r="EP1" s="619" t="n"/>
      <c r="EQ1" s="619" t="n"/>
      <c r="ER1" s="619" t="n"/>
      <c r="ES1" s="619" t="n"/>
      <c r="ET1" s="619" t="n"/>
      <c r="EU1" s="619" t="n"/>
      <c r="EV1" s="619" t="n"/>
      <c r="EW1" s="619" t="n"/>
      <c r="EX1" s="619" t="n"/>
      <c r="EY1" s="619" t="n"/>
      <c r="EZ1" s="619" t="n"/>
      <c r="FA1" s="619" t="n"/>
      <c r="FB1" s="619" t="n"/>
      <c r="FC1" s="619" t="n"/>
      <c r="FD1" s="619" t="n"/>
      <c r="FE1" s="619" t="n"/>
      <c r="FF1" s="619" t="n"/>
      <c r="FG1" s="619" t="n"/>
      <c r="FH1" s="619" t="n"/>
      <c r="FI1" s="619" t="n"/>
      <c r="FJ1" s="619" t="n"/>
      <c r="FK1" s="619" t="n"/>
      <c r="FL1" s="619" t="n"/>
      <c r="FM1" s="619" t="n"/>
      <c r="FN1" s="619" t="n"/>
      <c r="FO1" s="619" t="n"/>
      <c r="FP1" s="619" t="n"/>
      <c r="FQ1" s="619" t="n"/>
    </row>
    <row r="2" ht="20" customHeight="1">
      <c r="A2" s="620" t="inlineStr">
        <is>
          <t>หน้าหลัก</t>
        </is>
      </c>
      <c r="B2" s="62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22" t="n"/>
      <c r="D2" s="622" t="n"/>
      <c r="E2" s="622" t="n"/>
      <c r="F2" s="622" t="n"/>
      <c r="G2" s="622" t="n"/>
      <c r="H2" s="622" t="n"/>
      <c r="I2" s="622" t="n"/>
      <c r="J2" s="622" t="n"/>
      <c r="K2" s="622" t="n"/>
      <c r="L2" s="622" t="n"/>
      <c r="M2" s="622" t="n"/>
      <c r="N2" s="622" t="n"/>
      <c r="O2" s="622" t="n"/>
      <c r="P2" s="622" t="n"/>
      <c r="Q2" s="622" t="n"/>
      <c r="R2" s="622" t="n"/>
      <c r="S2" s="622" t="n"/>
      <c r="T2" s="622" t="n"/>
      <c r="U2" s="622" t="n"/>
      <c r="V2" s="622" t="n"/>
      <c r="W2" s="622" t="n"/>
      <c r="X2" s="622" t="n"/>
      <c r="Y2" s="622" t="n"/>
      <c r="Z2" s="622" t="n"/>
      <c r="AA2" s="622" t="n"/>
      <c r="AB2" s="622" t="n"/>
      <c r="AC2" s="622" t="n"/>
      <c r="AD2" s="622" t="n"/>
      <c r="AE2" s="622" t="n"/>
      <c r="AF2" s="622" t="n"/>
      <c r="AG2" s="622" t="n"/>
      <c r="AH2" s="622" t="n"/>
      <c r="AI2" s="622" t="n"/>
      <c r="AJ2" s="622" t="n"/>
      <c r="AK2" s="622" t="n"/>
      <c r="AL2" s="622" t="n"/>
      <c r="AM2" s="622" t="n"/>
      <c r="AN2" s="622" t="n"/>
      <c r="AO2" s="622" t="n"/>
      <c r="AP2" s="622" t="n"/>
      <c r="AQ2" s="622" t="n"/>
      <c r="AR2" s="622" t="n"/>
      <c r="AS2" s="622" t="n"/>
      <c r="AT2" s="622" t="n"/>
      <c r="AU2" s="622" t="n"/>
      <c r="AV2" s="622" t="n"/>
      <c r="AW2" s="622" t="n"/>
      <c r="AX2" s="622" t="n"/>
      <c r="AY2" s="622" t="n"/>
      <c r="AZ2" s="622" t="n"/>
      <c r="BA2" s="622" t="n"/>
      <c r="BB2" s="622" t="n"/>
      <c r="BC2" s="622" t="n"/>
      <c r="BD2" s="622" t="n"/>
      <c r="BE2" s="622" t="n"/>
      <c r="BF2" s="622" t="n"/>
      <c r="BG2" s="622" t="n"/>
      <c r="BH2" s="622" t="n"/>
      <c r="BI2" s="622" t="n"/>
      <c r="BJ2" s="622" t="n"/>
      <c r="BK2" s="622" t="n"/>
      <c r="BL2" s="622" t="n"/>
      <c r="BM2" s="622" t="n"/>
      <c r="BN2" s="622" t="n"/>
      <c r="BO2" s="622" t="n"/>
      <c r="BP2" s="622" t="n"/>
      <c r="BQ2" s="622" t="n"/>
      <c r="BR2" s="622" t="n"/>
      <c r="BS2" s="622" t="n"/>
      <c r="BT2" s="622" t="n"/>
      <c r="BU2" s="622" t="n"/>
      <c r="BV2" s="622" t="n"/>
      <c r="BW2" s="622" t="n"/>
      <c r="BX2" s="622" t="n"/>
      <c r="BY2" s="622" t="n"/>
      <c r="BZ2" s="622" t="n"/>
      <c r="CA2" s="622" t="n"/>
      <c r="CB2" s="622" t="n"/>
      <c r="CC2" s="622" t="n"/>
      <c r="CD2" s="622" t="n"/>
      <c r="CE2" s="622" t="n"/>
      <c r="CF2" s="622" t="n"/>
      <c r="CG2" s="622" t="n"/>
      <c r="CH2" s="622" t="n"/>
      <c r="CI2" s="622" t="n"/>
      <c r="CJ2" s="622" t="n"/>
      <c r="CK2" s="622" t="n"/>
      <c r="CL2" s="622" t="n"/>
      <c r="CM2" s="622" t="n"/>
      <c r="CN2" s="622" t="n"/>
      <c r="CO2" s="622" t="n"/>
      <c r="CP2" s="622" t="n"/>
      <c r="CQ2" s="622" t="n"/>
      <c r="CR2" s="622" t="n"/>
      <c r="CS2" s="622" t="n"/>
      <c r="CT2" s="622" t="n"/>
      <c r="CU2" s="622" t="n"/>
      <c r="CV2" s="622" t="n"/>
      <c r="CW2" s="622" t="n"/>
      <c r="CX2" s="622" t="n"/>
      <c r="CY2" s="622" t="n"/>
      <c r="CZ2" s="622" t="n"/>
      <c r="DA2" s="622" t="n"/>
      <c r="DB2" s="622" t="n"/>
      <c r="DC2" s="622" t="n"/>
      <c r="DD2" s="622" t="n"/>
      <c r="DE2" s="622" t="n"/>
      <c r="DF2" s="622" t="n"/>
      <c r="DG2" s="622" t="n"/>
      <c r="DH2" s="622" t="n"/>
      <c r="DI2" s="622" t="n"/>
      <c r="DJ2" s="622" t="n"/>
      <c r="DK2" s="622" t="n"/>
      <c r="DL2" s="622" t="n"/>
      <c r="DM2" s="622" t="n"/>
      <c r="DN2" s="622" t="n"/>
      <c r="DO2" s="622" t="n"/>
      <c r="DP2" s="622" t="n"/>
      <c r="DQ2" s="622" t="n"/>
      <c r="DR2" s="622" t="n"/>
      <c r="DS2" s="622" t="n"/>
      <c r="DT2" s="622" t="n"/>
      <c r="DU2" s="622" t="n"/>
      <c r="DV2" s="622" t="n"/>
      <c r="DW2" s="622" t="n"/>
      <c r="DX2" s="622" t="n"/>
      <c r="DY2" s="622" t="n"/>
      <c r="DZ2" s="622" t="n"/>
      <c r="EA2" s="622" t="n"/>
      <c r="EB2" s="622" t="n"/>
      <c r="EC2" s="622" t="n"/>
      <c r="ED2" s="622" t="n"/>
      <c r="EE2" s="622" t="n"/>
      <c r="EF2" s="622" t="n"/>
      <c r="EG2" s="622" t="n"/>
      <c r="EH2" s="622" t="n"/>
      <c r="EI2" s="622" t="n"/>
      <c r="EJ2" s="622" t="n"/>
      <c r="EK2" s="622" t="n"/>
      <c r="EL2" s="622" t="n"/>
      <c r="EM2" s="622" t="n"/>
      <c r="EN2" s="622" t="n"/>
      <c r="EO2" s="622" t="n"/>
      <c r="EP2" s="622" t="n"/>
      <c r="EQ2" s="622" t="n"/>
      <c r="ER2" s="622" t="n"/>
      <c r="ES2" s="622" t="n"/>
      <c r="ET2" s="622" t="n"/>
      <c r="EU2" s="622" t="n"/>
      <c r="EV2" s="622" t="n"/>
      <c r="EW2" s="622" t="n"/>
      <c r="EX2" s="622" t="n"/>
      <c r="EY2" s="622" t="n"/>
      <c r="EZ2" s="622" t="n"/>
      <c r="FA2" s="622" t="n"/>
      <c r="FB2" s="622" t="n"/>
      <c r="FC2" s="622" t="n"/>
      <c r="FD2" s="622" t="n"/>
      <c r="FE2" s="622" t="n"/>
      <c r="FF2" s="622" t="n"/>
      <c r="FG2" s="622" t="n"/>
      <c r="FH2" s="622" t="n"/>
      <c r="FI2" s="622" t="n"/>
      <c r="FJ2" s="622" t="n"/>
      <c r="FK2" s="622" t="n"/>
      <c r="FL2" s="622" t="n"/>
      <c r="FM2" s="622" t="n"/>
      <c r="FN2" s="622" t="n"/>
      <c r="FO2" s="622" t="n"/>
      <c r="FP2" s="622" t="n"/>
      <c r="FQ2" s="622" t="n"/>
    </row>
    <row r="3" ht="18" customHeight="1">
      <c r="B3" s="390" t="inlineStr">
        <is>
          <t>✓ = เข้าร่วม     ✗ = ไม่เข้าร่วม      •   แถวล่างสุดบันทึกหัวข้อ/กิจกรรมประจำวัน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391" t="inlineStr">
        <is>
          <t>เลขที่</t>
        </is>
      </c>
      <c r="B5" s="391" t="inlineStr">
        <is>
          <t>ชื่อ - สกุล</t>
        </is>
      </c>
      <c r="C5" s="392" t="inlineStr">
        <is>
          <t>ร้อยละ
ทั้งภาค</t>
        </is>
      </c>
      <c r="D5" s="623">
        <f>"เดือนพฤศจิกายน  พ.ศ. "&amp;('ข้อมูลโรงเรียน'!$C$12-543+543)</f>
        <v/>
      </c>
      <c r="AI5" s="624" t="inlineStr">
        <is>
          <t>สรุป พ.ย.</t>
        </is>
      </c>
      <c r="AL5" s="623">
        <f>"เดือนธันวาคม  พ.ศ. "&amp;('ข้อมูลโรงเรียน'!$C$12-543+543)</f>
        <v/>
      </c>
      <c r="BQ5" s="624" t="inlineStr">
        <is>
          <t>สรุป ธ.ค.</t>
        </is>
      </c>
      <c r="BT5" s="623">
        <f>"เดือนมกราคม  พ.ศ. "&amp;('ข้อมูลโรงเรียน'!$C$12-542+543)</f>
        <v/>
      </c>
      <c r="CY5" s="624" t="inlineStr">
        <is>
          <t>สรุป ม.ค.</t>
        </is>
      </c>
      <c r="DB5" s="623">
        <f>"เดือนกุมภาพันธ์  พ.ศ. "&amp;('ข้อมูลโรงเรียน'!$C$12-542+543)</f>
        <v/>
      </c>
      <c r="EG5" s="624" t="inlineStr">
        <is>
          <t>สรุป ก.พ.</t>
        </is>
      </c>
      <c r="EJ5" s="623">
        <f>"เดือนมีนาคม  พ.ศ. "&amp;('ข้อมูลโรงเรียน'!$C$12-542+543)</f>
        <v/>
      </c>
      <c r="FO5" s="624" t="inlineStr">
        <is>
          <t>สรุป มี.ค.</t>
        </is>
      </c>
    </row>
    <row r="6">
      <c r="D6" s="625">
        <f>IF('ปฏิทิน'!D5="","",DAY('ปฏิทิน'!D5))</f>
        <v/>
      </c>
      <c r="E6" s="392">
        <f>IF('ปฏิทิน'!E5="","",DAY('ปฏิทิน'!E5))</f>
        <v/>
      </c>
      <c r="F6" s="392">
        <f>IF('ปฏิทิน'!F5="","",DAY('ปฏิทิน'!F5))</f>
        <v/>
      </c>
      <c r="G6" s="392">
        <f>IF('ปฏิทิน'!G5="","",DAY('ปฏิทิน'!G5))</f>
        <v/>
      </c>
      <c r="H6" s="392">
        <f>IF('ปฏิทิน'!H5="","",DAY('ปฏิทิน'!H5))</f>
        <v/>
      </c>
      <c r="I6" s="392">
        <f>IF('ปฏิทิน'!I5="","",DAY('ปฏิทิน'!I5))</f>
        <v/>
      </c>
      <c r="J6" s="392">
        <f>IF('ปฏิทิน'!J5="","",DAY('ปฏิทิน'!J5))</f>
        <v/>
      </c>
      <c r="K6" s="392">
        <f>IF('ปฏิทิน'!K5="","",DAY('ปฏิทิน'!K5))</f>
        <v/>
      </c>
      <c r="L6" s="392">
        <f>IF('ปฏิทิน'!L5="","",DAY('ปฏิทิน'!L5))</f>
        <v/>
      </c>
      <c r="M6" s="392">
        <f>IF('ปฏิทิน'!M5="","",DAY('ปฏิทิน'!M5))</f>
        <v/>
      </c>
      <c r="N6" s="392">
        <f>IF('ปฏิทิน'!N5="","",DAY('ปฏิทิน'!N5))</f>
        <v/>
      </c>
      <c r="O6" s="392">
        <f>IF('ปฏิทิน'!O5="","",DAY('ปฏิทิน'!O5))</f>
        <v/>
      </c>
      <c r="P6" s="392">
        <f>IF('ปฏิทิน'!P5="","",DAY('ปฏิทิน'!P5))</f>
        <v/>
      </c>
      <c r="Q6" s="392">
        <f>IF('ปฏิทิน'!Q5="","",DAY('ปฏิทิน'!Q5))</f>
        <v/>
      </c>
      <c r="R6" s="392">
        <f>IF('ปฏิทิน'!R5="","",DAY('ปฏิทิน'!R5))</f>
        <v/>
      </c>
      <c r="S6" s="392">
        <f>IF('ปฏิทิน'!S5="","",DAY('ปฏิทิน'!S5))</f>
        <v/>
      </c>
      <c r="T6" s="392">
        <f>IF('ปฏิทิน'!T5="","",DAY('ปฏิทิน'!T5))</f>
        <v/>
      </c>
      <c r="U6" s="392">
        <f>IF('ปฏิทิน'!U5="","",DAY('ปฏิทิน'!U5))</f>
        <v/>
      </c>
      <c r="V6" s="392">
        <f>IF('ปฏิทิน'!V5="","",DAY('ปฏิทิน'!V5))</f>
        <v/>
      </c>
      <c r="W6" s="392">
        <f>IF('ปฏิทิน'!W5="","",DAY('ปฏิทิน'!W5))</f>
        <v/>
      </c>
      <c r="X6" s="392">
        <f>IF('ปฏิทิน'!X5="","",DAY('ปฏิทิน'!X5))</f>
        <v/>
      </c>
      <c r="Y6" s="392">
        <f>IF('ปฏิทิน'!Y5="","",DAY('ปฏิทิน'!Y5))</f>
        <v/>
      </c>
      <c r="Z6" s="392">
        <f>IF('ปฏิทิน'!Z5="","",DAY('ปฏิทิน'!Z5))</f>
        <v/>
      </c>
      <c r="AA6" s="392">
        <f>IF('ปฏิทิน'!AA5="","",DAY('ปฏิทิน'!AA5))</f>
        <v/>
      </c>
      <c r="AB6" s="392">
        <f>IF('ปฏิทิน'!AB5="","",DAY('ปฏิทิน'!AB5))</f>
        <v/>
      </c>
      <c r="AC6" s="392">
        <f>IF('ปฏิทิน'!AC5="","",DAY('ปฏิทิน'!AC5))</f>
        <v/>
      </c>
      <c r="AD6" s="392">
        <f>IF('ปฏิทิน'!AD5="","",DAY('ปฏิทิน'!AD5))</f>
        <v/>
      </c>
      <c r="AE6" s="392">
        <f>IF('ปฏิทิน'!AE5="","",DAY('ปฏิทิน'!AE5))</f>
        <v/>
      </c>
      <c r="AF6" s="392">
        <f>IF('ปฏิทิน'!AF5="","",DAY('ปฏิทิน'!AF5))</f>
        <v/>
      </c>
      <c r="AG6" s="392">
        <f>IF('ปฏิทิน'!AG5="","",DAY('ปฏิทิน'!AG5))</f>
        <v/>
      </c>
      <c r="AH6" s="392">
        <f>IF('ปฏิทิน'!AH5="","",DAY('ปฏิทิน'!AH5))</f>
        <v/>
      </c>
      <c r="AI6" s="626" t="inlineStr">
        <is>
          <t>ร่วม</t>
        </is>
      </c>
      <c r="AJ6" s="627" t="inlineStr">
        <is>
          <t>ไม่
ร่วม</t>
        </is>
      </c>
      <c r="AK6" s="628" t="inlineStr">
        <is>
          <t>ร้อยละ</t>
        </is>
      </c>
      <c r="AL6" s="625">
        <f>IF('ปฏิทิน'!AL5="","",DAY('ปฏิทิน'!AL5))</f>
        <v/>
      </c>
      <c r="AM6" s="392">
        <f>IF('ปฏิทิน'!AM5="","",DAY('ปฏิทิน'!AM5))</f>
        <v/>
      </c>
      <c r="AN6" s="392">
        <f>IF('ปฏิทิน'!AN5="","",DAY('ปฏิทิน'!AN5))</f>
        <v/>
      </c>
      <c r="AO6" s="392">
        <f>IF('ปฏิทิน'!AO5="","",DAY('ปฏิทิน'!AO5))</f>
        <v/>
      </c>
      <c r="AP6" s="392">
        <f>IF('ปฏิทิน'!AP5="","",DAY('ปฏิทิน'!AP5))</f>
        <v/>
      </c>
      <c r="AQ6" s="392">
        <f>IF('ปฏิทิน'!AQ5="","",DAY('ปฏิทิน'!AQ5))</f>
        <v/>
      </c>
      <c r="AR6" s="392">
        <f>IF('ปฏิทิน'!AR5="","",DAY('ปฏิทิน'!AR5))</f>
        <v/>
      </c>
      <c r="AS6" s="392">
        <f>IF('ปฏิทิน'!AS5="","",DAY('ปฏิทิน'!AS5))</f>
        <v/>
      </c>
      <c r="AT6" s="392">
        <f>IF('ปฏิทิน'!AT5="","",DAY('ปฏิทิน'!AT5))</f>
        <v/>
      </c>
      <c r="AU6" s="392">
        <f>IF('ปฏิทิน'!AU5="","",DAY('ปฏิทิน'!AU5))</f>
        <v/>
      </c>
      <c r="AV6" s="392">
        <f>IF('ปฏิทิน'!AV5="","",DAY('ปฏิทิน'!AV5))</f>
        <v/>
      </c>
      <c r="AW6" s="392">
        <f>IF('ปฏิทิน'!AW5="","",DAY('ปฏิทิน'!AW5))</f>
        <v/>
      </c>
      <c r="AX6" s="392">
        <f>IF('ปฏิทิน'!AX5="","",DAY('ปฏิทิน'!AX5))</f>
        <v/>
      </c>
      <c r="AY6" s="392">
        <f>IF('ปฏิทิน'!AY5="","",DAY('ปฏิทิน'!AY5))</f>
        <v/>
      </c>
      <c r="AZ6" s="392">
        <f>IF('ปฏิทิน'!AZ5="","",DAY('ปฏิทิน'!AZ5))</f>
        <v/>
      </c>
      <c r="BA6" s="392">
        <f>IF('ปฏิทิน'!BA5="","",DAY('ปฏิทิน'!BA5))</f>
        <v/>
      </c>
      <c r="BB6" s="392">
        <f>IF('ปฏิทิน'!BB5="","",DAY('ปฏิทิน'!BB5))</f>
        <v/>
      </c>
      <c r="BC6" s="392">
        <f>IF('ปฏิทิน'!BC5="","",DAY('ปฏิทิน'!BC5))</f>
        <v/>
      </c>
      <c r="BD6" s="392">
        <f>IF('ปฏิทิน'!BD5="","",DAY('ปฏิทิน'!BD5))</f>
        <v/>
      </c>
      <c r="BE6" s="392">
        <f>IF('ปฏิทิน'!BE5="","",DAY('ปฏิทิน'!BE5))</f>
        <v/>
      </c>
      <c r="BF6" s="392">
        <f>IF('ปฏิทิน'!BF5="","",DAY('ปฏิทิน'!BF5))</f>
        <v/>
      </c>
      <c r="BG6" s="392">
        <f>IF('ปฏิทิน'!BG5="","",DAY('ปฏิทิน'!BG5))</f>
        <v/>
      </c>
      <c r="BH6" s="392">
        <f>IF('ปฏิทิน'!BH5="","",DAY('ปฏิทิน'!BH5))</f>
        <v/>
      </c>
      <c r="BI6" s="392">
        <f>IF('ปฏิทิน'!BI5="","",DAY('ปฏิทิน'!BI5))</f>
        <v/>
      </c>
      <c r="BJ6" s="392">
        <f>IF('ปฏิทิน'!BJ5="","",DAY('ปฏิทิน'!BJ5))</f>
        <v/>
      </c>
      <c r="BK6" s="392">
        <f>IF('ปฏิทิน'!BK5="","",DAY('ปฏิทิน'!BK5))</f>
        <v/>
      </c>
      <c r="BL6" s="392">
        <f>IF('ปฏิทิน'!BL5="","",DAY('ปฏิทิน'!BL5))</f>
        <v/>
      </c>
      <c r="BM6" s="392">
        <f>IF('ปฏิทิน'!BM5="","",DAY('ปฏิทิน'!BM5))</f>
        <v/>
      </c>
      <c r="BN6" s="392">
        <f>IF('ปฏิทิน'!BN5="","",DAY('ปฏิทิน'!BN5))</f>
        <v/>
      </c>
      <c r="BO6" s="392">
        <f>IF('ปฏิทิน'!BO5="","",DAY('ปฏิทิน'!BO5))</f>
        <v/>
      </c>
      <c r="BP6" s="392">
        <f>IF('ปฏิทิน'!BP5="","",DAY('ปฏิทิน'!BP5))</f>
        <v/>
      </c>
      <c r="BQ6" s="626" t="inlineStr">
        <is>
          <t>ร่วม</t>
        </is>
      </c>
      <c r="BR6" s="627" t="inlineStr">
        <is>
          <t>ไม่
ร่วม</t>
        </is>
      </c>
      <c r="BS6" s="628" t="inlineStr">
        <is>
          <t>ร้อยละ</t>
        </is>
      </c>
      <c r="BT6" s="625">
        <f>IF('ปฏิทิน'!BT5="","",DAY('ปฏิทิน'!BT5))</f>
        <v/>
      </c>
      <c r="BU6" s="392">
        <f>IF('ปฏิทิน'!BU5="","",DAY('ปฏิทิน'!BU5))</f>
        <v/>
      </c>
      <c r="BV6" s="392">
        <f>IF('ปฏิทิน'!BV5="","",DAY('ปฏิทิน'!BV5))</f>
        <v/>
      </c>
      <c r="BW6" s="392">
        <f>IF('ปฏิทิน'!BW5="","",DAY('ปฏิทิน'!BW5))</f>
        <v/>
      </c>
      <c r="BX6" s="392">
        <f>IF('ปฏิทิน'!BX5="","",DAY('ปฏิทิน'!BX5))</f>
        <v/>
      </c>
      <c r="BY6" s="392">
        <f>IF('ปฏิทิน'!BY5="","",DAY('ปฏิทิน'!BY5))</f>
        <v/>
      </c>
      <c r="BZ6" s="392">
        <f>IF('ปฏิทิน'!BZ5="","",DAY('ปฏิทิน'!BZ5))</f>
        <v/>
      </c>
      <c r="CA6" s="392">
        <f>IF('ปฏิทิน'!CA5="","",DAY('ปฏิทิน'!CA5))</f>
        <v/>
      </c>
      <c r="CB6" s="392">
        <f>IF('ปฏิทิน'!CB5="","",DAY('ปฏิทิน'!CB5))</f>
        <v/>
      </c>
      <c r="CC6" s="392">
        <f>IF('ปฏิทิน'!CC5="","",DAY('ปฏิทิน'!CC5))</f>
        <v/>
      </c>
      <c r="CD6" s="392">
        <f>IF('ปฏิทิน'!CD5="","",DAY('ปฏิทิน'!CD5))</f>
        <v/>
      </c>
      <c r="CE6" s="392">
        <f>IF('ปฏิทิน'!CE5="","",DAY('ปฏิทิน'!CE5))</f>
        <v/>
      </c>
      <c r="CF6" s="392">
        <f>IF('ปฏิทิน'!CF5="","",DAY('ปฏิทิน'!CF5))</f>
        <v/>
      </c>
      <c r="CG6" s="392">
        <f>IF('ปฏิทิน'!CG5="","",DAY('ปฏิทิน'!CG5))</f>
        <v/>
      </c>
      <c r="CH6" s="392">
        <f>IF('ปฏิทิน'!CH5="","",DAY('ปฏิทิน'!CH5))</f>
        <v/>
      </c>
      <c r="CI6" s="392">
        <f>IF('ปฏิทิน'!CI5="","",DAY('ปฏิทิน'!CI5))</f>
        <v/>
      </c>
      <c r="CJ6" s="392">
        <f>IF('ปฏิทิน'!CJ5="","",DAY('ปฏิทิน'!CJ5))</f>
        <v/>
      </c>
      <c r="CK6" s="392">
        <f>IF('ปฏิทิน'!CK5="","",DAY('ปฏิทิน'!CK5))</f>
        <v/>
      </c>
      <c r="CL6" s="392">
        <f>IF('ปฏิทิน'!CL5="","",DAY('ปฏิทิน'!CL5))</f>
        <v/>
      </c>
      <c r="CM6" s="392">
        <f>IF('ปฏิทิน'!CM5="","",DAY('ปฏิทิน'!CM5))</f>
        <v/>
      </c>
      <c r="CN6" s="392">
        <f>IF('ปฏิทิน'!CN5="","",DAY('ปฏิทิน'!CN5))</f>
        <v/>
      </c>
      <c r="CO6" s="392">
        <f>IF('ปฏิทิน'!CO5="","",DAY('ปฏิทิน'!CO5))</f>
        <v/>
      </c>
      <c r="CP6" s="392">
        <f>IF('ปฏิทิน'!CP5="","",DAY('ปฏิทิน'!CP5))</f>
        <v/>
      </c>
      <c r="CQ6" s="392">
        <f>IF('ปฏิทิน'!CQ5="","",DAY('ปฏิทิน'!CQ5))</f>
        <v/>
      </c>
      <c r="CR6" s="392">
        <f>IF('ปฏิทิน'!CR5="","",DAY('ปฏิทิน'!CR5))</f>
        <v/>
      </c>
      <c r="CS6" s="392">
        <f>IF('ปฏิทิน'!CS5="","",DAY('ปฏิทิน'!CS5))</f>
        <v/>
      </c>
      <c r="CT6" s="392">
        <f>IF('ปฏิทิน'!CT5="","",DAY('ปฏิทิน'!CT5))</f>
        <v/>
      </c>
      <c r="CU6" s="392">
        <f>IF('ปฏิทิน'!CU5="","",DAY('ปฏิทิน'!CU5))</f>
        <v/>
      </c>
      <c r="CV6" s="392">
        <f>IF('ปฏิทิน'!CV5="","",DAY('ปฏิทิน'!CV5))</f>
        <v/>
      </c>
      <c r="CW6" s="392">
        <f>IF('ปฏิทิน'!CW5="","",DAY('ปฏิทิน'!CW5))</f>
        <v/>
      </c>
      <c r="CX6" s="392">
        <f>IF('ปฏิทิน'!CX5="","",DAY('ปฏิทิน'!CX5))</f>
        <v/>
      </c>
      <c r="CY6" s="626" t="inlineStr">
        <is>
          <t>ร่วม</t>
        </is>
      </c>
      <c r="CZ6" s="627" t="inlineStr">
        <is>
          <t>ไม่
ร่วม</t>
        </is>
      </c>
      <c r="DA6" s="628" t="inlineStr">
        <is>
          <t>ร้อยละ</t>
        </is>
      </c>
      <c r="DB6" s="625">
        <f>IF('ปฏิทิน'!DB5="","",DAY('ปฏิทิน'!DB5))</f>
        <v/>
      </c>
      <c r="DC6" s="392">
        <f>IF('ปฏิทิน'!DC5="","",DAY('ปฏิทิน'!DC5))</f>
        <v/>
      </c>
      <c r="DD6" s="392">
        <f>IF('ปฏิทิน'!DD5="","",DAY('ปฏิทิน'!DD5))</f>
        <v/>
      </c>
      <c r="DE6" s="392">
        <f>IF('ปฏิทิน'!DE5="","",DAY('ปฏิทิน'!DE5))</f>
        <v/>
      </c>
      <c r="DF6" s="392">
        <f>IF('ปฏิทิน'!DF5="","",DAY('ปฏิทิน'!DF5))</f>
        <v/>
      </c>
      <c r="DG6" s="392">
        <f>IF('ปฏิทิน'!DG5="","",DAY('ปฏิทิน'!DG5))</f>
        <v/>
      </c>
      <c r="DH6" s="392">
        <f>IF('ปฏิทิน'!DH5="","",DAY('ปฏิทิน'!DH5))</f>
        <v/>
      </c>
      <c r="DI6" s="392">
        <f>IF('ปฏิทิน'!DI5="","",DAY('ปฏิทิน'!DI5))</f>
        <v/>
      </c>
      <c r="DJ6" s="392">
        <f>IF('ปฏิทิน'!DJ5="","",DAY('ปฏิทิน'!DJ5))</f>
        <v/>
      </c>
      <c r="DK6" s="392">
        <f>IF('ปฏิทิน'!DK5="","",DAY('ปฏิทิน'!DK5))</f>
        <v/>
      </c>
      <c r="DL6" s="392">
        <f>IF('ปฏิทิน'!DL5="","",DAY('ปฏิทิน'!DL5))</f>
        <v/>
      </c>
      <c r="DM6" s="392">
        <f>IF('ปฏิทิน'!DM5="","",DAY('ปฏิทิน'!DM5))</f>
        <v/>
      </c>
      <c r="DN6" s="392">
        <f>IF('ปฏิทิน'!DN5="","",DAY('ปฏิทิน'!DN5))</f>
        <v/>
      </c>
      <c r="DO6" s="392">
        <f>IF('ปฏิทิน'!DO5="","",DAY('ปฏิทิน'!DO5))</f>
        <v/>
      </c>
      <c r="DP6" s="392">
        <f>IF('ปฏิทิน'!DP5="","",DAY('ปฏิทิน'!DP5))</f>
        <v/>
      </c>
      <c r="DQ6" s="392">
        <f>IF('ปฏิทิน'!DQ5="","",DAY('ปฏิทิน'!DQ5))</f>
        <v/>
      </c>
      <c r="DR6" s="392">
        <f>IF('ปฏิทิน'!DR5="","",DAY('ปฏิทิน'!DR5))</f>
        <v/>
      </c>
      <c r="DS6" s="392">
        <f>IF('ปฏิทิน'!DS5="","",DAY('ปฏิทิน'!DS5))</f>
        <v/>
      </c>
      <c r="DT6" s="392">
        <f>IF('ปฏิทิน'!DT5="","",DAY('ปฏิทิน'!DT5))</f>
        <v/>
      </c>
      <c r="DU6" s="392">
        <f>IF('ปฏิทิน'!DU5="","",DAY('ปฏิทิน'!DU5))</f>
        <v/>
      </c>
      <c r="DV6" s="392">
        <f>IF('ปฏิทิน'!DV5="","",DAY('ปฏิทิน'!DV5))</f>
        <v/>
      </c>
      <c r="DW6" s="392">
        <f>IF('ปฏิทิน'!DW5="","",DAY('ปฏิทิน'!DW5))</f>
        <v/>
      </c>
      <c r="DX6" s="392">
        <f>IF('ปฏิทิน'!DX5="","",DAY('ปฏิทิน'!DX5))</f>
        <v/>
      </c>
      <c r="DY6" s="392">
        <f>IF('ปฏิทิน'!DY5="","",DAY('ปฏิทิน'!DY5))</f>
        <v/>
      </c>
      <c r="DZ6" s="392">
        <f>IF('ปฏิทิน'!DZ5="","",DAY('ปฏิทิน'!DZ5))</f>
        <v/>
      </c>
      <c r="EA6" s="392">
        <f>IF('ปฏิทิน'!EA5="","",DAY('ปฏิทิน'!EA5))</f>
        <v/>
      </c>
      <c r="EB6" s="392">
        <f>IF('ปฏิทิน'!EB5="","",DAY('ปฏิทิน'!EB5))</f>
        <v/>
      </c>
      <c r="EC6" s="392">
        <f>IF('ปฏิทิน'!EC5="","",DAY('ปฏิทิน'!EC5))</f>
        <v/>
      </c>
      <c r="ED6" s="392">
        <f>IF('ปฏิทิน'!ED5="","",DAY('ปฏิทิน'!ED5))</f>
        <v/>
      </c>
      <c r="EE6" s="392">
        <f>IF('ปฏิทิน'!EE5="","",DAY('ปฏิทิน'!EE5))</f>
        <v/>
      </c>
      <c r="EF6" s="392">
        <f>IF('ปฏิทิน'!EF5="","",DAY('ปฏิทิน'!EF5))</f>
        <v/>
      </c>
      <c r="EG6" s="626" t="inlineStr">
        <is>
          <t>ร่วม</t>
        </is>
      </c>
      <c r="EH6" s="627" t="inlineStr">
        <is>
          <t>ไม่
ร่วม</t>
        </is>
      </c>
      <c r="EI6" s="628" t="inlineStr">
        <is>
          <t>ร้อยละ</t>
        </is>
      </c>
      <c r="EJ6" s="625">
        <f>IF('ปฏิทิน'!EJ5="","",DAY('ปฏิทิน'!EJ5))</f>
        <v/>
      </c>
      <c r="EK6" s="392">
        <f>IF('ปฏิทิน'!EK5="","",DAY('ปฏิทิน'!EK5))</f>
        <v/>
      </c>
      <c r="EL6" s="392">
        <f>IF('ปฏิทิน'!EL5="","",DAY('ปฏิทิน'!EL5))</f>
        <v/>
      </c>
      <c r="EM6" s="392">
        <f>IF('ปฏิทิน'!EM5="","",DAY('ปฏิทิน'!EM5))</f>
        <v/>
      </c>
      <c r="EN6" s="392">
        <f>IF('ปฏิทิน'!EN5="","",DAY('ปฏิทิน'!EN5))</f>
        <v/>
      </c>
      <c r="EO6" s="392">
        <f>IF('ปฏิทิน'!EO5="","",DAY('ปฏิทิน'!EO5))</f>
        <v/>
      </c>
      <c r="EP6" s="392">
        <f>IF('ปฏิทิน'!EP5="","",DAY('ปฏิทิน'!EP5))</f>
        <v/>
      </c>
      <c r="EQ6" s="392">
        <f>IF('ปฏิทิน'!EQ5="","",DAY('ปฏิทิน'!EQ5))</f>
        <v/>
      </c>
      <c r="ER6" s="392">
        <f>IF('ปฏิทิน'!ER5="","",DAY('ปฏิทิน'!ER5))</f>
        <v/>
      </c>
      <c r="ES6" s="392">
        <f>IF('ปฏิทิน'!ES5="","",DAY('ปฏิทิน'!ES5))</f>
        <v/>
      </c>
      <c r="ET6" s="392">
        <f>IF('ปฏิทิน'!ET5="","",DAY('ปฏิทิน'!ET5))</f>
        <v/>
      </c>
      <c r="EU6" s="392">
        <f>IF('ปฏิทิน'!EU5="","",DAY('ปฏิทิน'!EU5))</f>
        <v/>
      </c>
      <c r="EV6" s="392">
        <f>IF('ปฏิทิน'!EV5="","",DAY('ปฏิทิน'!EV5))</f>
        <v/>
      </c>
      <c r="EW6" s="392">
        <f>IF('ปฏิทิน'!EW5="","",DAY('ปฏิทิน'!EW5))</f>
        <v/>
      </c>
      <c r="EX6" s="392">
        <f>IF('ปฏิทิน'!EX5="","",DAY('ปฏิทิน'!EX5))</f>
        <v/>
      </c>
      <c r="EY6" s="392">
        <f>IF('ปฏิทิน'!EY5="","",DAY('ปฏิทิน'!EY5))</f>
        <v/>
      </c>
      <c r="EZ6" s="392">
        <f>IF('ปฏิทิน'!EZ5="","",DAY('ปฏิทิน'!EZ5))</f>
        <v/>
      </c>
      <c r="FA6" s="392">
        <f>IF('ปฏิทิน'!FA5="","",DAY('ปฏิทิน'!FA5))</f>
        <v/>
      </c>
      <c r="FB6" s="392">
        <f>IF('ปฏิทิน'!FB5="","",DAY('ปฏิทิน'!FB5))</f>
        <v/>
      </c>
      <c r="FC6" s="392">
        <f>IF('ปฏิทิน'!FC5="","",DAY('ปฏิทิน'!FC5))</f>
        <v/>
      </c>
      <c r="FD6" s="392">
        <f>IF('ปฏิทิน'!FD5="","",DAY('ปฏิทิน'!FD5))</f>
        <v/>
      </c>
      <c r="FE6" s="392">
        <f>IF('ปฏิทิน'!FE5="","",DAY('ปฏิทิน'!FE5))</f>
        <v/>
      </c>
      <c r="FF6" s="392">
        <f>IF('ปฏิทิน'!FF5="","",DAY('ปฏิทิน'!FF5))</f>
        <v/>
      </c>
      <c r="FG6" s="392">
        <f>IF('ปฏิทิน'!FG5="","",DAY('ปฏิทิน'!FG5))</f>
        <v/>
      </c>
      <c r="FH6" s="392">
        <f>IF('ปฏิทิน'!FH5="","",DAY('ปฏิทิน'!FH5))</f>
        <v/>
      </c>
      <c r="FI6" s="392">
        <f>IF('ปฏิทิน'!FI5="","",DAY('ปฏิทิน'!FI5))</f>
        <v/>
      </c>
      <c r="FJ6" s="392">
        <f>IF('ปฏิทิน'!FJ5="","",DAY('ปฏิทิน'!FJ5))</f>
        <v/>
      </c>
      <c r="FK6" s="392">
        <f>IF('ปฏิทิน'!FK5="","",DAY('ปฏิทิน'!FK5))</f>
        <v/>
      </c>
      <c r="FL6" s="392">
        <f>IF('ปฏิทิน'!FL5="","",DAY('ปฏิทิน'!FL5))</f>
        <v/>
      </c>
      <c r="FM6" s="392">
        <f>IF('ปฏิทิน'!FM5="","",DAY('ปฏิทิน'!FM5))</f>
        <v/>
      </c>
      <c r="FN6" s="392">
        <f>IF('ปฏิทิน'!FN5="","",DAY('ปฏิทิน'!FN5))</f>
        <v/>
      </c>
      <c r="FO6" s="626" t="inlineStr">
        <is>
          <t>ร่วม</t>
        </is>
      </c>
      <c r="FP6" s="627" t="inlineStr">
        <is>
          <t>ไม่
ร่วม</t>
        </is>
      </c>
      <c r="FQ6" s="628" t="inlineStr">
        <is>
          <t>ร้อยละ</t>
        </is>
      </c>
    </row>
    <row r="7">
      <c r="D7" s="629">
        <f>IF('ปฏิทิน'!D5="","",CHOOSE(WEEKDAY('ปฏิทิน'!D5,2),"จ.","อ.","พ.","พฤ.","ศ.","ส.","อา."))</f>
        <v/>
      </c>
      <c r="E7" s="630">
        <f>IF('ปฏิทิน'!E5="","",CHOOSE(WEEKDAY('ปฏิทิน'!E5,2),"จ.","อ.","พ.","พฤ.","ศ.","ส.","อา."))</f>
        <v/>
      </c>
      <c r="F7" s="630">
        <f>IF('ปฏิทิน'!F5="","",CHOOSE(WEEKDAY('ปฏิทิน'!F5,2),"จ.","อ.","พ.","พฤ.","ศ.","ส.","อา."))</f>
        <v/>
      </c>
      <c r="G7" s="630">
        <f>IF('ปฏิทิน'!G5="","",CHOOSE(WEEKDAY('ปฏิทิน'!G5,2),"จ.","อ.","พ.","พฤ.","ศ.","ส.","อา."))</f>
        <v/>
      </c>
      <c r="H7" s="630">
        <f>IF('ปฏิทิน'!H5="","",CHOOSE(WEEKDAY('ปฏิทิน'!H5,2),"จ.","อ.","พ.","พฤ.","ศ.","ส.","อา."))</f>
        <v/>
      </c>
      <c r="I7" s="630">
        <f>IF('ปฏิทิน'!I5="","",CHOOSE(WEEKDAY('ปฏิทิน'!I5,2),"จ.","อ.","พ.","พฤ.","ศ.","ส.","อา."))</f>
        <v/>
      </c>
      <c r="J7" s="630">
        <f>IF('ปฏิทิน'!J5="","",CHOOSE(WEEKDAY('ปฏิทิน'!J5,2),"จ.","อ.","พ.","พฤ.","ศ.","ส.","อา."))</f>
        <v/>
      </c>
      <c r="K7" s="630">
        <f>IF('ปฏิทิน'!K5="","",CHOOSE(WEEKDAY('ปฏิทิน'!K5,2),"จ.","อ.","พ.","พฤ.","ศ.","ส.","อา."))</f>
        <v/>
      </c>
      <c r="L7" s="630">
        <f>IF('ปฏิทิน'!L5="","",CHOOSE(WEEKDAY('ปฏิทิน'!L5,2),"จ.","อ.","พ.","พฤ.","ศ.","ส.","อา."))</f>
        <v/>
      </c>
      <c r="M7" s="630">
        <f>IF('ปฏิทิน'!M5="","",CHOOSE(WEEKDAY('ปฏิทิน'!M5,2),"จ.","อ.","พ.","พฤ.","ศ.","ส.","อา."))</f>
        <v/>
      </c>
      <c r="N7" s="630">
        <f>IF('ปฏิทิน'!N5="","",CHOOSE(WEEKDAY('ปฏิทิน'!N5,2),"จ.","อ.","พ.","พฤ.","ศ.","ส.","อา."))</f>
        <v/>
      </c>
      <c r="O7" s="630">
        <f>IF('ปฏิทิน'!O5="","",CHOOSE(WEEKDAY('ปฏิทิน'!O5,2),"จ.","อ.","พ.","พฤ.","ศ.","ส.","อา."))</f>
        <v/>
      </c>
      <c r="P7" s="630">
        <f>IF('ปฏิทิน'!P5="","",CHOOSE(WEEKDAY('ปฏิทิน'!P5,2),"จ.","อ.","พ.","พฤ.","ศ.","ส.","อา."))</f>
        <v/>
      </c>
      <c r="Q7" s="630">
        <f>IF('ปฏิทิน'!Q5="","",CHOOSE(WEEKDAY('ปฏิทิน'!Q5,2),"จ.","อ.","พ.","พฤ.","ศ.","ส.","อา."))</f>
        <v/>
      </c>
      <c r="R7" s="630">
        <f>IF('ปฏิทิน'!R5="","",CHOOSE(WEEKDAY('ปฏิทิน'!R5,2),"จ.","อ.","พ.","พฤ.","ศ.","ส.","อา."))</f>
        <v/>
      </c>
      <c r="S7" s="630">
        <f>IF('ปฏิทิน'!S5="","",CHOOSE(WEEKDAY('ปฏิทิน'!S5,2),"จ.","อ.","พ.","พฤ.","ศ.","ส.","อา."))</f>
        <v/>
      </c>
      <c r="T7" s="630">
        <f>IF('ปฏิทิน'!T5="","",CHOOSE(WEEKDAY('ปฏิทิน'!T5,2),"จ.","อ.","พ.","พฤ.","ศ.","ส.","อา."))</f>
        <v/>
      </c>
      <c r="U7" s="630">
        <f>IF('ปฏิทิน'!U5="","",CHOOSE(WEEKDAY('ปฏิทิน'!U5,2),"จ.","อ.","พ.","พฤ.","ศ.","ส.","อา."))</f>
        <v/>
      </c>
      <c r="V7" s="630">
        <f>IF('ปฏิทิน'!V5="","",CHOOSE(WEEKDAY('ปฏิทิน'!V5,2),"จ.","อ.","พ.","พฤ.","ศ.","ส.","อา."))</f>
        <v/>
      </c>
      <c r="W7" s="630">
        <f>IF('ปฏิทิน'!W5="","",CHOOSE(WEEKDAY('ปฏิทิน'!W5,2),"จ.","อ.","พ.","พฤ.","ศ.","ส.","อา."))</f>
        <v/>
      </c>
      <c r="X7" s="630">
        <f>IF('ปฏิทิน'!X5="","",CHOOSE(WEEKDAY('ปฏิทิน'!X5,2),"จ.","อ.","พ.","พฤ.","ศ.","ส.","อา."))</f>
        <v/>
      </c>
      <c r="Y7" s="630">
        <f>IF('ปฏิทิน'!Y5="","",CHOOSE(WEEKDAY('ปฏิทิน'!Y5,2),"จ.","อ.","พ.","พฤ.","ศ.","ส.","อา."))</f>
        <v/>
      </c>
      <c r="Z7" s="630">
        <f>IF('ปฏิทิน'!Z5="","",CHOOSE(WEEKDAY('ปฏิทิน'!Z5,2),"จ.","อ.","พ.","พฤ.","ศ.","ส.","อา."))</f>
        <v/>
      </c>
      <c r="AA7" s="630">
        <f>IF('ปฏิทิน'!AA5="","",CHOOSE(WEEKDAY('ปฏิทิน'!AA5,2),"จ.","อ.","พ.","พฤ.","ศ.","ส.","อา."))</f>
        <v/>
      </c>
      <c r="AB7" s="630">
        <f>IF('ปฏิทิน'!AB5="","",CHOOSE(WEEKDAY('ปฏิทิน'!AB5,2),"จ.","อ.","พ.","พฤ.","ศ.","ส.","อา."))</f>
        <v/>
      </c>
      <c r="AC7" s="630">
        <f>IF('ปฏิทิน'!AC5="","",CHOOSE(WEEKDAY('ปฏิทิน'!AC5,2),"จ.","อ.","พ.","พฤ.","ศ.","ส.","อา."))</f>
        <v/>
      </c>
      <c r="AD7" s="630">
        <f>IF('ปฏิทิน'!AD5="","",CHOOSE(WEEKDAY('ปฏิทิน'!AD5,2),"จ.","อ.","พ.","พฤ.","ศ.","ส.","อา."))</f>
        <v/>
      </c>
      <c r="AE7" s="630">
        <f>IF('ปฏิทิน'!AE5="","",CHOOSE(WEEKDAY('ปฏิทิน'!AE5,2),"จ.","อ.","พ.","พฤ.","ศ.","ส.","อา."))</f>
        <v/>
      </c>
      <c r="AF7" s="630">
        <f>IF('ปฏิทิน'!AF5="","",CHOOSE(WEEKDAY('ปฏิทิน'!AF5,2),"จ.","อ.","พ.","พฤ.","ศ.","ส.","อา."))</f>
        <v/>
      </c>
      <c r="AG7" s="630">
        <f>IF('ปฏิทิน'!AG5="","",CHOOSE(WEEKDAY('ปฏิทิน'!AG5,2),"จ.","อ.","พ.","พฤ.","ศ.","ส.","อา."))</f>
        <v/>
      </c>
      <c r="AH7" s="630">
        <f>IF('ปฏิทิน'!AH5="","",CHOOSE(WEEKDAY('ปฏิทิน'!AH5,2),"จ.","อ.","พ.","พฤ.","ศ.","ส.","อา."))</f>
        <v/>
      </c>
      <c r="AI7" s="631" t="n"/>
      <c r="AL7" s="629">
        <f>IF('ปฏิทิน'!AL5="","",CHOOSE(WEEKDAY('ปฏิทิน'!AL5,2),"จ.","อ.","พ.","พฤ.","ศ.","ส.","อา."))</f>
        <v/>
      </c>
      <c r="AM7" s="630">
        <f>IF('ปฏิทิน'!AM5="","",CHOOSE(WEEKDAY('ปฏิทิน'!AM5,2),"จ.","อ.","พ.","พฤ.","ศ.","ส.","อา."))</f>
        <v/>
      </c>
      <c r="AN7" s="630">
        <f>IF('ปฏิทิน'!AN5="","",CHOOSE(WEEKDAY('ปฏิทิน'!AN5,2),"จ.","อ.","พ.","พฤ.","ศ.","ส.","อา."))</f>
        <v/>
      </c>
      <c r="AO7" s="630">
        <f>IF('ปฏิทิน'!AO5="","",CHOOSE(WEEKDAY('ปฏิทิน'!AO5,2),"จ.","อ.","พ.","พฤ.","ศ.","ส.","อา."))</f>
        <v/>
      </c>
      <c r="AP7" s="630">
        <f>IF('ปฏิทิน'!AP5="","",CHOOSE(WEEKDAY('ปฏิทิน'!AP5,2),"จ.","อ.","พ.","พฤ.","ศ.","ส.","อา."))</f>
        <v/>
      </c>
      <c r="AQ7" s="630">
        <f>IF('ปฏิทิน'!AQ5="","",CHOOSE(WEEKDAY('ปฏิทิน'!AQ5,2),"จ.","อ.","พ.","พฤ.","ศ.","ส.","อา."))</f>
        <v/>
      </c>
      <c r="AR7" s="630">
        <f>IF('ปฏิทิน'!AR5="","",CHOOSE(WEEKDAY('ปฏิทิน'!AR5,2),"จ.","อ.","พ.","พฤ.","ศ.","ส.","อา."))</f>
        <v/>
      </c>
      <c r="AS7" s="630">
        <f>IF('ปฏิทิน'!AS5="","",CHOOSE(WEEKDAY('ปฏิทิน'!AS5,2),"จ.","อ.","พ.","พฤ.","ศ.","ส.","อา."))</f>
        <v/>
      </c>
      <c r="AT7" s="630">
        <f>IF('ปฏิทิน'!AT5="","",CHOOSE(WEEKDAY('ปฏิทิน'!AT5,2),"จ.","อ.","พ.","พฤ.","ศ.","ส.","อา."))</f>
        <v/>
      </c>
      <c r="AU7" s="630">
        <f>IF('ปฏิทิน'!AU5="","",CHOOSE(WEEKDAY('ปฏิทิน'!AU5,2),"จ.","อ.","พ.","พฤ.","ศ.","ส.","อา."))</f>
        <v/>
      </c>
      <c r="AV7" s="630">
        <f>IF('ปฏิทิน'!AV5="","",CHOOSE(WEEKDAY('ปฏิทิน'!AV5,2),"จ.","อ.","พ.","พฤ.","ศ.","ส.","อา."))</f>
        <v/>
      </c>
      <c r="AW7" s="630">
        <f>IF('ปฏิทิน'!AW5="","",CHOOSE(WEEKDAY('ปฏิทิน'!AW5,2),"จ.","อ.","พ.","พฤ.","ศ.","ส.","อา."))</f>
        <v/>
      </c>
      <c r="AX7" s="630">
        <f>IF('ปฏิทิน'!AX5="","",CHOOSE(WEEKDAY('ปฏิทิน'!AX5,2),"จ.","อ.","พ.","พฤ.","ศ.","ส.","อา."))</f>
        <v/>
      </c>
      <c r="AY7" s="630">
        <f>IF('ปฏิทิน'!AY5="","",CHOOSE(WEEKDAY('ปฏิทิน'!AY5,2),"จ.","อ.","พ.","พฤ.","ศ.","ส.","อา."))</f>
        <v/>
      </c>
      <c r="AZ7" s="630">
        <f>IF('ปฏิทิน'!AZ5="","",CHOOSE(WEEKDAY('ปฏิทิน'!AZ5,2),"จ.","อ.","พ.","พฤ.","ศ.","ส.","อา."))</f>
        <v/>
      </c>
      <c r="BA7" s="630">
        <f>IF('ปฏิทิน'!BA5="","",CHOOSE(WEEKDAY('ปฏิทิน'!BA5,2),"จ.","อ.","พ.","พฤ.","ศ.","ส.","อา."))</f>
        <v/>
      </c>
      <c r="BB7" s="630">
        <f>IF('ปฏิทิน'!BB5="","",CHOOSE(WEEKDAY('ปฏิทิน'!BB5,2),"จ.","อ.","พ.","พฤ.","ศ.","ส.","อา."))</f>
        <v/>
      </c>
      <c r="BC7" s="630">
        <f>IF('ปฏิทิน'!BC5="","",CHOOSE(WEEKDAY('ปฏิทิน'!BC5,2),"จ.","อ.","พ.","พฤ.","ศ.","ส.","อา."))</f>
        <v/>
      </c>
      <c r="BD7" s="630">
        <f>IF('ปฏิทิน'!BD5="","",CHOOSE(WEEKDAY('ปฏิทิน'!BD5,2),"จ.","อ.","พ.","พฤ.","ศ.","ส.","อา."))</f>
        <v/>
      </c>
      <c r="BE7" s="630">
        <f>IF('ปฏิทิน'!BE5="","",CHOOSE(WEEKDAY('ปฏิทิน'!BE5,2),"จ.","อ.","พ.","พฤ.","ศ.","ส.","อา."))</f>
        <v/>
      </c>
      <c r="BF7" s="630">
        <f>IF('ปฏิทิน'!BF5="","",CHOOSE(WEEKDAY('ปฏิทิน'!BF5,2),"จ.","อ.","พ.","พฤ.","ศ.","ส.","อา."))</f>
        <v/>
      </c>
      <c r="BG7" s="630">
        <f>IF('ปฏิทิน'!BG5="","",CHOOSE(WEEKDAY('ปฏิทิน'!BG5,2),"จ.","อ.","พ.","พฤ.","ศ.","ส.","อา."))</f>
        <v/>
      </c>
      <c r="BH7" s="630">
        <f>IF('ปฏิทิน'!BH5="","",CHOOSE(WEEKDAY('ปฏิทิน'!BH5,2),"จ.","อ.","พ.","พฤ.","ศ.","ส.","อา."))</f>
        <v/>
      </c>
      <c r="BI7" s="630">
        <f>IF('ปฏิทิน'!BI5="","",CHOOSE(WEEKDAY('ปฏิทิน'!BI5,2),"จ.","อ.","พ.","พฤ.","ศ.","ส.","อา."))</f>
        <v/>
      </c>
      <c r="BJ7" s="630">
        <f>IF('ปฏิทิน'!BJ5="","",CHOOSE(WEEKDAY('ปฏิทิน'!BJ5,2),"จ.","อ.","พ.","พฤ.","ศ.","ส.","อา."))</f>
        <v/>
      </c>
      <c r="BK7" s="630">
        <f>IF('ปฏิทิน'!BK5="","",CHOOSE(WEEKDAY('ปฏิทิน'!BK5,2),"จ.","อ.","พ.","พฤ.","ศ.","ส.","อา."))</f>
        <v/>
      </c>
      <c r="BL7" s="630">
        <f>IF('ปฏิทิน'!BL5="","",CHOOSE(WEEKDAY('ปฏิทิน'!BL5,2),"จ.","อ.","พ.","พฤ.","ศ.","ส.","อา."))</f>
        <v/>
      </c>
      <c r="BM7" s="630">
        <f>IF('ปฏิทิน'!BM5="","",CHOOSE(WEEKDAY('ปฏิทิน'!BM5,2),"จ.","อ.","พ.","พฤ.","ศ.","ส.","อา."))</f>
        <v/>
      </c>
      <c r="BN7" s="630">
        <f>IF('ปฏิทิน'!BN5="","",CHOOSE(WEEKDAY('ปฏิทิน'!BN5,2),"จ.","อ.","พ.","พฤ.","ศ.","ส.","อา."))</f>
        <v/>
      </c>
      <c r="BO7" s="630">
        <f>IF('ปฏิทิน'!BO5="","",CHOOSE(WEEKDAY('ปฏิทิน'!BO5,2),"จ.","อ.","พ.","พฤ.","ศ.","ส.","อา."))</f>
        <v/>
      </c>
      <c r="BP7" s="630">
        <f>IF('ปฏิทิน'!BP5="","",CHOOSE(WEEKDAY('ปฏิทิน'!BP5,2),"จ.","อ.","พ.","พฤ.","ศ.","ส.","อา."))</f>
        <v/>
      </c>
      <c r="BQ7" s="631" t="n"/>
      <c r="BT7" s="629">
        <f>IF('ปฏิทิน'!BT5="","",CHOOSE(WEEKDAY('ปฏิทิน'!BT5,2),"จ.","อ.","พ.","พฤ.","ศ.","ส.","อา."))</f>
        <v/>
      </c>
      <c r="BU7" s="630">
        <f>IF('ปฏิทิน'!BU5="","",CHOOSE(WEEKDAY('ปฏิทิน'!BU5,2),"จ.","อ.","พ.","พฤ.","ศ.","ส.","อา."))</f>
        <v/>
      </c>
      <c r="BV7" s="630">
        <f>IF('ปฏิทิน'!BV5="","",CHOOSE(WEEKDAY('ปฏิทิน'!BV5,2),"จ.","อ.","พ.","พฤ.","ศ.","ส.","อา."))</f>
        <v/>
      </c>
      <c r="BW7" s="630">
        <f>IF('ปฏิทิน'!BW5="","",CHOOSE(WEEKDAY('ปฏิทิน'!BW5,2),"จ.","อ.","พ.","พฤ.","ศ.","ส.","อา."))</f>
        <v/>
      </c>
      <c r="BX7" s="630">
        <f>IF('ปฏิทิน'!BX5="","",CHOOSE(WEEKDAY('ปฏิทิน'!BX5,2),"จ.","อ.","พ.","พฤ.","ศ.","ส.","อา."))</f>
        <v/>
      </c>
      <c r="BY7" s="630">
        <f>IF('ปฏิทิน'!BY5="","",CHOOSE(WEEKDAY('ปฏิทิน'!BY5,2),"จ.","อ.","พ.","พฤ.","ศ.","ส.","อา."))</f>
        <v/>
      </c>
      <c r="BZ7" s="630">
        <f>IF('ปฏิทิน'!BZ5="","",CHOOSE(WEEKDAY('ปฏิทิน'!BZ5,2),"จ.","อ.","พ.","พฤ.","ศ.","ส.","อา."))</f>
        <v/>
      </c>
      <c r="CA7" s="630">
        <f>IF('ปฏิทิน'!CA5="","",CHOOSE(WEEKDAY('ปฏิทิน'!CA5,2),"จ.","อ.","พ.","พฤ.","ศ.","ส.","อา."))</f>
        <v/>
      </c>
      <c r="CB7" s="630">
        <f>IF('ปฏิทิน'!CB5="","",CHOOSE(WEEKDAY('ปฏิทิน'!CB5,2),"จ.","อ.","พ.","พฤ.","ศ.","ส.","อา."))</f>
        <v/>
      </c>
      <c r="CC7" s="630">
        <f>IF('ปฏิทิน'!CC5="","",CHOOSE(WEEKDAY('ปฏิทิน'!CC5,2),"จ.","อ.","พ.","พฤ.","ศ.","ส.","อา."))</f>
        <v/>
      </c>
      <c r="CD7" s="630">
        <f>IF('ปฏิทิน'!CD5="","",CHOOSE(WEEKDAY('ปฏิทิน'!CD5,2),"จ.","อ.","พ.","พฤ.","ศ.","ส.","อา."))</f>
        <v/>
      </c>
      <c r="CE7" s="630">
        <f>IF('ปฏิทิน'!CE5="","",CHOOSE(WEEKDAY('ปฏิทิน'!CE5,2),"จ.","อ.","พ.","พฤ.","ศ.","ส.","อา."))</f>
        <v/>
      </c>
      <c r="CF7" s="630">
        <f>IF('ปฏิทิน'!CF5="","",CHOOSE(WEEKDAY('ปฏิทิน'!CF5,2),"จ.","อ.","พ.","พฤ.","ศ.","ส.","อา."))</f>
        <v/>
      </c>
      <c r="CG7" s="630">
        <f>IF('ปฏิทิน'!CG5="","",CHOOSE(WEEKDAY('ปฏิทิน'!CG5,2),"จ.","อ.","พ.","พฤ.","ศ.","ส.","อา."))</f>
        <v/>
      </c>
      <c r="CH7" s="630">
        <f>IF('ปฏิทิน'!CH5="","",CHOOSE(WEEKDAY('ปฏิทิน'!CH5,2),"จ.","อ.","พ.","พฤ.","ศ.","ส.","อา."))</f>
        <v/>
      </c>
      <c r="CI7" s="630">
        <f>IF('ปฏิทิน'!CI5="","",CHOOSE(WEEKDAY('ปฏิทิน'!CI5,2),"จ.","อ.","พ.","พฤ.","ศ.","ส.","อา."))</f>
        <v/>
      </c>
      <c r="CJ7" s="630">
        <f>IF('ปฏิทิน'!CJ5="","",CHOOSE(WEEKDAY('ปฏิทิน'!CJ5,2),"จ.","อ.","พ.","พฤ.","ศ.","ส.","อา."))</f>
        <v/>
      </c>
      <c r="CK7" s="630">
        <f>IF('ปฏิทิน'!CK5="","",CHOOSE(WEEKDAY('ปฏิทิน'!CK5,2),"จ.","อ.","พ.","พฤ.","ศ.","ส.","อา."))</f>
        <v/>
      </c>
      <c r="CL7" s="630">
        <f>IF('ปฏิทิน'!CL5="","",CHOOSE(WEEKDAY('ปฏิทิน'!CL5,2),"จ.","อ.","พ.","พฤ.","ศ.","ส.","อา."))</f>
        <v/>
      </c>
      <c r="CM7" s="630">
        <f>IF('ปฏิทิน'!CM5="","",CHOOSE(WEEKDAY('ปฏิทิน'!CM5,2),"จ.","อ.","พ.","พฤ.","ศ.","ส.","อา."))</f>
        <v/>
      </c>
      <c r="CN7" s="630">
        <f>IF('ปฏิทิน'!CN5="","",CHOOSE(WEEKDAY('ปฏิทิน'!CN5,2),"จ.","อ.","พ.","พฤ.","ศ.","ส.","อา."))</f>
        <v/>
      </c>
      <c r="CO7" s="630">
        <f>IF('ปฏิทิน'!CO5="","",CHOOSE(WEEKDAY('ปฏิทิน'!CO5,2),"จ.","อ.","พ.","พฤ.","ศ.","ส.","อา."))</f>
        <v/>
      </c>
      <c r="CP7" s="630">
        <f>IF('ปฏิทิน'!CP5="","",CHOOSE(WEEKDAY('ปฏิทิน'!CP5,2),"จ.","อ.","พ.","พฤ.","ศ.","ส.","อา."))</f>
        <v/>
      </c>
      <c r="CQ7" s="630">
        <f>IF('ปฏิทิน'!CQ5="","",CHOOSE(WEEKDAY('ปฏิทิน'!CQ5,2),"จ.","อ.","พ.","พฤ.","ศ.","ส.","อา."))</f>
        <v/>
      </c>
      <c r="CR7" s="630">
        <f>IF('ปฏิทิน'!CR5="","",CHOOSE(WEEKDAY('ปฏิทิน'!CR5,2),"จ.","อ.","พ.","พฤ.","ศ.","ส.","อา."))</f>
        <v/>
      </c>
      <c r="CS7" s="630">
        <f>IF('ปฏิทิน'!CS5="","",CHOOSE(WEEKDAY('ปฏิทิน'!CS5,2),"จ.","อ.","พ.","พฤ.","ศ.","ส.","อา."))</f>
        <v/>
      </c>
      <c r="CT7" s="630">
        <f>IF('ปฏิทิน'!CT5="","",CHOOSE(WEEKDAY('ปฏิทิน'!CT5,2),"จ.","อ.","พ.","พฤ.","ศ.","ส.","อา."))</f>
        <v/>
      </c>
      <c r="CU7" s="630">
        <f>IF('ปฏิทิน'!CU5="","",CHOOSE(WEEKDAY('ปฏิทิน'!CU5,2),"จ.","อ.","พ.","พฤ.","ศ.","ส.","อา."))</f>
        <v/>
      </c>
      <c r="CV7" s="630">
        <f>IF('ปฏิทิน'!CV5="","",CHOOSE(WEEKDAY('ปฏิทิน'!CV5,2),"จ.","อ.","พ.","พฤ.","ศ.","ส.","อา."))</f>
        <v/>
      </c>
      <c r="CW7" s="630">
        <f>IF('ปฏิทิน'!CW5="","",CHOOSE(WEEKDAY('ปฏิทิน'!CW5,2),"จ.","อ.","พ.","พฤ.","ศ.","ส.","อา."))</f>
        <v/>
      </c>
      <c r="CX7" s="630">
        <f>IF('ปฏิทิน'!CX5="","",CHOOSE(WEEKDAY('ปฏิทิน'!CX5,2),"จ.","อ.","พ.","พฤ.","ศ.","ส.","อา."))</f>
        <v/>
      </c>
      <c r="CY7" s="631" t="n"/>
      <c r="DB7" s="629">
        <f>IF('ปฏิทิน'!DB5="","",CHOOSE(WEEKDAY('ปฏิทิน'!DB5,2),"จ.","อ.","พ.","พฤ.","ศ.","ส.","อา."))</f>
        <v/>
      </c>
      <c r="DC7" s="630">
        <f>IF('ปฏิทิน'!DC5="","",CHOOSE(WEEKDAY('ปฏิทิน'!DC5,2),"จ.","อ.","พ.","พฤ.","ศ.","ส.","อา."))</f>
        <v/>
      </c>
      <c r="DD7" s="630">
        <f>IF('ปฏิทิน'!DD5="","",CHOOSE(WEEKDAY('ปฏิทิน'!DD5,2),"จ.","อ.","พ.","พฤ.","ศ.","ส.","อา."))</f>
        <v/>
      </c>
      <c r="DE7" s="630">
        <f>IF('ปฏิทิน'!DE5="","",CHOOSE(WEEKDAY('ปฏิทิน'!DE5,2),"จ.","อ.","พ.","พฤ.","ศ.","ส.","อา."))</f>
        <v/>
      </c>
      <c r="DF7" s="630">
        <f>IF('ปฏิทิน'!DF5="","",CHOOSE(WEEKDAY('ปฏิทิน'!DF5,2),"จ.","อ.","พ.","พฤ.","ศ.","ส.","อา."))</f>
        <v/>
      </c>
      <c r="DG7" s="630">
        <f>IF('ปฏิทิน'!DG5="","",CHOOSE(WEEKDAY('ปฏิทิน'!DG5,2),"จ.","อ.","พ.","พฤ.","ศ.","ส.","อา."))</f>
        <v/>
      </c>
      <c r="DH7" s="630">
        <f>IF('ปฏิทิน'!DH5="","",CHOOSE(WEEKDAY('ปฏิทิน'!DH5,2),"จ.","อ.","พ.","พฤ.","ศ.","ส.","อา."))</f>
        <v/>
      </c>
      <c r="DI7" s="630">
        <f>IF('ปฏิทิน'!DI5="","",CHOOSE(WEEKDAY('ปฏิทิน'!DI5,2),"จ.","อ.","พ.","พฤ.","ศ.","ส.","อา."))</f>
        <v/>
      </c>
      <c r="DJ7" s="630">
        <f>IF('ปฏิทิน'!DJ5="","",CHOOSE(WEEKDAY('ปฏิทิน'!DJ5,2),"จ.","อ.","พ.","พฤ.","ศ.","ส.","อา."))</f>
        <v/>
      </c>
      <c r="DK7" s="630">
        <f>IF('ปฏิทิน'!DK5="","",CHOOSE(WEEKDAY('ปฏิทิน'!DK5,2),"จ.","อ.","พ.","พฤ.","ศ.","ส.","อา."))</f>
        <v/>
      </c>
      <c r="DL7" s="630">
        <f>IF('ปฏิทิน'!DL5="","",CHOOSE(WEEKDAY('ปฏิทิน'!DL5,2),"จ.","อ.","พ.","พฤ.","ศ.","ส.","อา."))</f>
        <v/>
      </c>
      <c r="DM7" s="630">
        <f>IF('ปฏิทิน'!DM5="","",CHOOSE(WEEKDAY('ปฏิทิน'!DM5,2),"จ.","อ.","พ.","พฤ.","ศ.","ส.","อา."))</f>
        <v/>
      </c>
      <c r="DN7" s="630">
        <f>IF('ปฏิทิน'!DN5="","",CHOOSE(WEEKDAY('ปฏิทิน'!DN5,2),"จ.","อ.","พ.","พฤ.","ศ.","ส.","อา."))</f>
        <v/>
      </c>
      <c r="DO7" s="630">
        <f>IF('ปฏิทิน'!DO5="","",CHOOSE(WEEKDAY('ปฏิทิน'!DO5,2),"จ.","อ.","พ.","พฤ.","ศ.","ส.","อา."))</f>
        <v/>
      </c>
      <c r="DP7" s="630">
        <f>IF('ปฏิทิน'!DP5="","",CHOOSE(WEEKDAY('ปฏิทิน'!DP5,2),"จ.","อ.","พ.","พฤ.","ศ.","ส.","อา."))</f>
        <v/>
      </c>
      <c r="DQ7" s="630">
        <f>IF('ปฏิทิน'!DQ5="","",CHOOSE(WEEKDAY('ปฏิทิน'!DQ5,2),"จ.","อ.","พ.","พฤ.","ศ.","ส.","อา."))</f>
        <v/>
      </c>
      <c r="DR7" s="630">
        <f>IF('ปฏิทิน'!DR5="","",CHOOSE(WEEKDAY('ปฏิทิน'!DR5,2),"จ.","อ.","พ.","พฤ.","ศ.","ส.","อา."))</f>
        <v/>
      </c>
      <c r="DS7" s="630">
        <f>IF('ปฏิทิน'!DS5="","",CHOOSE(WEEKDAY('ปฏิทิน'!DS5,2),"จ.","อ.","พ.","พฤ.","ศ.","ส.","อา."))</f>
        <v/>
      </c>
      <c r="DT7" s="630">
        <f>IF('ปฏิทิน'!DT5="","",CHOOSE(WEEKDAY('ปฏิทิน'!DT5,2),"จ.","อ.","พ.","พฤ.","ศ.","ส.","อา."))</f>
        <v/>
      </c>
      <c r="DU7" s="630">
        <f>IF('ปฏิทิน'!DU5="","",CHOOSE(WEEKDAY('ปฏิทิน'!DU5,2),"จ.","อ.","พ.","พฤ.","ศ.","ส.","อา."))</f>
        <v/>
      </c>
      <c r="DV7" s="630">
        <f>IF('ปฏิทิน'!DV5="","",CHOOSE(WEEKDAY('ปฏิทิน'!DV5,2),"จ.","อ.","พ.","พฤ.","ศ.","ส.","อา."))</f>
        <v/>
      </c>
      <c r="DW7" s="630">
        <f>IF('ปฏิทิน'!DW5="","",CHOOSE(WEEKDAY('ปฏิทิน'!DW5,2),"จ.","อ.","พ.","พฤ.","ศ.","ส.","อา."))</f>
        <v/>
      </c>
      <c r="DX7" s="630">
        <f>IF('ปฏิทิน'!DX5="","",CHOOSE(WEEKDAY('ปฏิทิน'!DX5,2),"จ.","อ.","พ.","พฤ.","ศ.","ส.","อา."))</f>
        <v/>
      </c>
      <c r="DY7" s="630">
        <f>IF('ปฏิทิน'!DY5="","",CHOOSE(WEEKDAY('ปฏิทิน'!DY5,2),"จ.","อ.","พ.","พฤ.","ศ.","ส.","อา."))</f>
        <v/>
      </c>
      <c r="DZ7" s="630">
        <f>IF('ปฏิทิน'!DZ5="","",CHOOSE(WEEKDAY('ปฏิทิน'!DZ5,2),"จ.","อ.","พ.","พฤ.","ศ.","ส.","อา."))</f>
        <v/>
      </c>
      <c r="EA7" s="630">
        <f>IF('ปฏิทิน'!EA5="","",CHOOSE(WEEKDAY('ปฏิทิน'!EA5,2),"จ.","อ.","พ.","พฤ.","ศ.","ส.","อา."))</f>
        <v/>
      </c>
      <c r="EB7" s="630">
        <f>IF('ปฏิทิน'!EB5="","",CHOOSE(WEEKDAY('ปฏิทิน'!EB5,2),"จ.","อ.","พ.","พฤ.","ศ.","ส.","อา."))</f>
        <v/>
      </c>
      <c r="EC7" s="630">
        <f>IF('ปฏิทิน'!EC5="","",CHOOSE(WEEKDAY('ปฏิทิน'!EC5,2),"จ.","อ.","พ.","พฤ.","ศ.","ส.","อา."))</f>
        <v/>
      </c>
      <c r="ED7" s="630">
        <f>IF('ปฏิทิน'!ED5="","",CHOOSE(WEEKDAY('ปฏิทิน'!ED5,2),"จ.","อ.","พ.","พฤ.","ศ.","ส.","อา."))</f>
        <v/>
      </c>
      <c r="EE7" s="630">
        <f>IF('ปฏิทิน'!EE5="","",CHOOSE(WEEKDAY('ปฏิทิน'!EE5,2),"จ.","อ.","พ.","พฤ.","ศ.","ส.","อา."))</f>
        <v/>
      </c>
      <c r="EF7" s="630">
        <f>IF('ปฏิทิน'!EF5="","",CHOOSE(WEEKDAY('ปฏิทิน'!EF5,2),"จ.","อ.","พ.","พฤ.","ศ.","ส.","อา."))</f>
        <v/>
      </c>
      <c r="EG7" s="631" t="n"/>
      <c r="EJ7" s="629">
        <f>IF('ปฏิทิน'!EJ5="","",CHOOSE(WEEKDAY('ปฏิทิน'!EJ5,2),"จ.","อ.","พ.","พฤ.","ศ.","ส.","อา."))</f>
        <v/>
      </c>
      <c r="EK7" s="630">
        <f>IF('ปฏิทิน'!EK5="","",CHOOSE(WEEKDAY('ปฏิทิน'!EK5,2),"จ.","อ.","พ.","พฤ.","ศ.","ส.","อา."))</f>
        <v/>
      </c>
      <c r="EL7" s="630">
        <f>IF('ปฏิทิน'!EL5="","",CHOOSE(WEEKDAY('ปฏิทิน'!EL5,2),"จ.","อ.","พ.","พฤ.","ศ.","ส.","อา."))</f>
        <v/>
      </c>
      <c r="EM7" s="630">
        <f>IF('ปฏิทิน'!EM5="","",CHOOSE(WEEKDAY('ปฏิทิน'!EM5,2),"จ.","อ.","พ.","พฤ.","ศ.","ส.","อา."))</f>
        <v/>
      </c>
      <c r="EN7" s="630">
        <f>IF('ปฏิทิน'!EN5="","",CHOOSE(WEEKDAY('ปฏิทิน'!EN5,2),"จ.","อ.","พ.","พฤ.","ศ.","ส.","อา."))</f>
        <v/>
      </c>
      <c r="EO7" s="630">
        <f>IF('ปฏิทิน'!EO5="","",CHOOSE(WEEKDAY('ปฏิทิน'!EO5,2),"จ.","อ.","พ.","พฤ.","ศ.","ส.","อา."))</f>
        <v/>
      </c>
      <c r="EP7" s="630">
        <f>IF('ปฏิทิน'!EP5="","",CHOOSE(WEEKDAY('ปฏิทิน'!EP5,2),"จ.","อ.","พ.","พฤ.","ศ.","ส.","อา."))</f>
        <v/>
      </c>
      <c r="EQ7" s="630">
        <f>IF('ปฏิทิน'!EQ5="","",CHOOSE(WEEKDAY('ปฏิทิน'!EQ5,2),"จ.","อ.","พ.","พฤ.","ศ.","ส.","อา."))</f>
        <v/>
      </c>
      <c r="ER7" s="630">
        <f>IF('ปฏิทิน'!ER5="","",CHOOSE(WEEKDAY('ปฏิทิน'!ER5,2),"จ.","อ.","พ.","พฤ.","ศ.","ส.","อา."))</f>
        <v/>
      </c>
      <c r="ES7" s="630">
        <f>IF('ปฏิทิน'!ES5="","",CHOOSE(WEEKDAY('ปฏิทิน'!ES5,2),"จ.","อ.","พ.","พฤ.","ศ.","ส.","อา."))</f>
        <v/>
      </c>
      <c r="ET7" s="630">
        <f>IF('ปฏิทิน'!ET5="","",CHOOSE(WEEKDAY('ปฏิทิน'!ET5,2),"จ.","อ.","พ.","พฤ.","ศ.","ส.","อา."))</f>
        <v/>
      </c>
      <c r="EU7" s="630">
        <f>IF('ปฏิทิน'!EU5="","",CHOOSE(WEEKDAY('ปฏิทิน'!EU5,2),"จ.","อ.","พ.","พฤ.","ศ.","ส.","อา."))</f>
        <v/>
      </c>
      <c r="EV7" s="630">
        <f>IF('ปฏิทิน'!EV5="","",CHOOSE(WEEKDAY('ปฏิทิน'!EV5,2),"จ.","อ.","พ.","พฤ.","ศ.","ส.","อา."))</f>
        <v/>
      </c>
      <c r="EW7" s="630">
        <f>IF('ปฏิทิน'!EW5="","",CHOOSE(WEEKDAY('ปฏิทิน'!EW5,2),"จ.","อ.","พ.","พฤ.","ศ.","ส.","อา."))</f>
        <v/>
      </c>
      <c r="EX7" s="630">
        <f>IF('ปฏิทิน'!EX5="","",CHOOSE(WEEKDAY('ปฏิทิน'!EX5,2),"จ.","อ.","พ.","พฤ.","ศ.","ส.","อา."))</f>
        <v/>
      </c>
      <c r="EY7" s="630">
        <f>IF('ปฏิทิน'!EY5="","",CHOOSE(WEEKDAY('ปฏิทิน'!EY5,2),"จ.","อ.","พ.","พฤ.","ศ.","ส.","อา."))</f>
        <v/>
      </c>
      <c r="EZ7" s="630">
        <f>IF('ปฏิทิน'!EZ5="","",CHOOSE(WEEKDAY('ปฏิทิน'!EZ5,2),"จ.","อ.","พ.","พฤ.","ศ.","ส.","อา."))</f>
        <v/>
      </c>
      <c r="FA7" s="630">
        <f>IF('ปฏิทิน'!FA5="","",CHOOSE(WEEKDAY('ปฏิทิน'!FA5,2),"จ.","อ.","พ.","พฤ.","ศ.","ส.","อา."))</f>
        <v/>
      </c>
      <c r="FB7" s="630">
        <f>IF('ปฏิทิน'!FB5="","",CHOOSE(WEEKDAY('ปฏิทิน'!FB5,2),"จ.","อ.","พ.","พฤ.","ศ.","ส.","อา."))</f>
        <v/>
      </c>
      <c r="FC7" s="630">
        <f>IF('ปฏิทิน'!FC5="","",CHOOSE(WEEKDAY('ปฏิทิน'!FC5,2),"จ.","อ.","พ.","พฤ.","ศ.","ส.","อา."))</f>
        <v/>
      </c>
      <c r="FD7" s="630">
        <f>IF('ปฏิทิน'!FD5="","",CHOOSE(WEEKDAY('ปฏิทิน'!FD5,2),"จ.","อ.","พ.","พฤ.","ศ.","ส.","อา."))</f>
        <v/>
      </c>
      <c r="FE7" s="630">
        <f>IF('ปฏิทิน'!FE5="","",CHOOSE(WEEKDAY('ปฏิทิน'!FE5,2),"จ.","อ.","พ.","พฤ.","ศ.","ส.","อา."))</f>
        <v/>
      </c>
      <c r="FF7" s="630">
        <f>IF('ปฏิทิน'!FF5="","",CHOOSE(WEEKDAY('ปฏิทิน'!FF5,2),"จ.","อ.","พ.","พฤ.","ศ.","ส.","อา."))</f>
        <v/>
      </c>
      <c r="FG7" s="630">
        <f>IF('ปฏิทิน'!FG5="","",CHOOSE(WEEKDAY('ปฏิทิน'!FG5,2),"จ.","อ.","พ.","พฤ.","ศ.","ส.","อา."))</f>
        <v/>
      </c>
      <c r="FH7" s="630">
        <f>IF('ปฏิทิน'!FH5="","",CHOOSE(WEEKDAY('ปฏิทิน'!FH5,2),"จ.","อ.","พ.","พฤ.","ศ.","ส.","อา."))</f>
        <v/>
      </c>
      <c r="FI7" s="630">
        <f>IF('ปฏิทิน'!FI5="","",CHOOSE(WEEKDAY('ปฏิทิน'!FI5,2),"จ.","อ.","พ.","พฤ.","ศ.","ส.","อา."))</f>
        <v/>
      </c>
      <c r="FJ7" s="630">
        <f>IF('ปฏิทิน'!FJ5="","",CHOOSE(WEEKDAY('ปฏิทิน'!FJ5,2),"จ.","อ.","พ.","พฤ.","ศ.","ส.","อา."))</f>
        <v/>
      </c>
      <c r="FK7" s="630">
        <f>IF('ปฏิทิน'!FK5="","",CHOOSE(WEEKDAY('ปฏิทิน'!FK5,2),"จ.","อ.","พ.","พฤ.","ศ.","ส.","อา."))</f>
        <v/>
      </c>
      <c r="FL7" s="630">
        <f>IF('ปฏิทิน'!FL5="","",CHOOSE(WEEKDAY('ปฏิทิน'!FL5,2),"จ.","อ.","พ.","พฤ.","ศ.","ส.","อา."))</f>
        <v/>
      </c>
      <c r="FM7" s="630">
        <f>IF('ปฏิทิน'!FM5="","",CHOOSE(WEEKDAY('ปฏิทิน'!FM5,2),"จ.","อ.","พ.","พฤ.","ศ.","ส.","อา."))</f>
        <v/>
      </c>
      <c r="FN7" s="630">
        <f>IF('ปฏิทิน'!FN5="","",CHOOSE(WEEKDAY('ปฏิทิน'!FN5,2),"จ.","อ.","พ.","พฤ.","ศ.","ส.","อา."))</f>
        <v/>
      </c>
      <c r="FO7" s="631" t="n"/>
    </row>
    <row r="8" ht="64" customHeight="1">
      <c r="D8" s="632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631" t="n"/>
      <c r="AL8" s="632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631" t="n"/>
      <c r="BT8" s="632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631" t="n"/>
      <c r="DB8" s="632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631" t="n"/>
      <c r="EJ8" s="632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631" t="n"/>
    </row>
    <row r="9">
      <c r="A9" s="218" t="n">
        <v>1</v>
      </c>
      <c r="B9" s="219">
        <f>'ข้อมูลนักเรียน'!T9</f>
        <v/>
      </c>
      <c r="C9" s="633">
        <f>IF(B9="","",IFERROR(COUNTIF(D9:FQ9,"✓")/(COUNTIF(D9:FQ9,"✓")+COUNTIF(D9:FQ9,"✗")),""))</f>
        <v/>
      </c>
      <c r="D9" s="634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35">
        <f>IF($B9="","",COUNTIF(D9:AH9,"✓"))</f>
        <v/>
      </c>
      <c r="AJ9" s="636">
        <f>IF($B9="","",COUNTIF(D9:AH9,"✗"))</f>
        <v/>
      </c>
      <c r="AK9" s="637">
        <f>IF($B9="","",IFERROR(ROUND(COUNTIF(D9:AH9,"✓")/(COUNTIF(D9:AH9,"✓")+COUNTIF(D9:AH9,"✗"))*100,0),""))</f>
        <v/>
      </c>
      <c r="AL9" s="634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35">
        <f>IF($B9="","",COUNTIF(AL9:BP9,"✓"))</f>
        <v/>
      </c>
      <c r="BR9" s="636">
        <f>IF($B9="","",COUNTIF(AL9:BP9,"✗"))</f>
        <v/>
      </c>
      <c r="BS9" s="637">
        <f>IF($B9="","",IFERROR(ROUND(COUNTIF(AL9:BP9,"✓")/(COUNTIF(AL9:BP9,"✓")+COUNTIF(AL9:BP9,"✗"))*100,0),""))</f>
        <v/>
      </c>
      <c r="BT9" s="634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35">
        <f>IF($B9="","",COUNTIF(BT9:CX9,"✓"))</f>
        <v/>
      </c>
      <c r="CZ9" s="636">
        <f>IF($B9="","",COUNTIF(BT9:CX9,"✗"))</f>
        <v/>
      </c>
      <c r="DA9" s="637">
        <f>IF($B9="","",IFERROR(ROUND(COUNTIF(BT9:CX9,"✓")/(COUNTIF(BT9:CX9,"✓")+COUNTIF(BT9:CX9,"✗"))*100,0),""))</f>
        <v/>
      </c>
      <c r="DB9" s="634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35">
        <f>IF($B9="","",COUNTIF(DB9:EF9,"✓"))</f>
        <v/>
      </c>
      <c r="EH9" s="636">
        <f>IF($B9="","",COUNTIF(DB9:EF9,"✗"))</f>
        <v/>
      </c>
      <c r="EI9" s="637">
        <f>IF($B9="","",IFERROR(ROUND(COUNTIF(DB9:EF9,"✓")/(COUNTIF(DB9:EF9,"✓")+COUNTIF(DB9:EF9,"✗"))*100,0),""))</f>
        <v/>
      </c>
      <c r="EJ9" s="634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35">
        <f>IF($B9="","",COUNTIF(EJ9:FN9,"✓"))</f>
        <v/>
      </c>
      <c r="FP9" s="636">
        <f>IF($B9="","",COUNTIF(EJ9:FN9,"✗"))</f>
        <v/>
      </c>
      <c r="FQ9" s="637">
        <f>IF($B9="","",IFERROR(ROUND(COUNTIF(EJ9:FN9,"✓")/(COUNTIF(EJ9:FN9,"✓")+COUNTIF(EJ9:FN9,"✗"))*100,0),""))</f>
        <v/>
      </c>
    </row>
    <row r="10">
      <c r="A10" s="226" t="n">
        <v>2</v>
      </c>
      <c r="B10" s="227">
        <f>'ข้อมูลนักเรียน'!T10</f>
        <v/>
      </c>
      <c r="C10" s="633">
        <f>IF(B10="","",IFERROR(COUNTIF(D10:FQ10,"✓")/(COUNTIF(D10:FQ10,"✓")+COUNTIF(D10:FQ10,"✗")),""))</f>
        <v/>
      </c>
      <c r="D10" s="634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35">
        <f>IF($B10="","",COUNTIF(D10:AH10,"✓"))</f>
        <v/>
      </c>
      <c r="AJ10" s="636">
        <f>IF($B10="","",COUNTIF(D10:AH10,"✗"))</f>
        <v/>
      </c>
      <c r="AK10" s="637">
        <f>IF($B10="","",IFERROR(ROUND(COUNTIF(D10:AH10,"✓")/(COUNTIF(D10:AH10,"✓")+COUNTIF(D10:AH10,"✗"))*100,0),""))</f>
        <v/>
      </c>
      <c r="AL10" s="634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35">
        <f>IF($B10="","",COUNTIF(AL10:BP10,"✓"))</f>
        <v/>
      </c>
      <c r="BR10" s="636">
        <f>IF($B10="","",COUNTIF(AL10:BP10,"✗"))</f>
        <v/>
      </c>
      <c r="BS10" s="637">
        <f>IF($B10="","",IFERROR(ROUND(COUNTIF(AL10:BP10,"✓")/(COUNTIF(AL10:BP10,"✓")+COUNTIF(AL10:BP10,"✗"))*100,0),""))</f>
        <v/>
      </c>
      <c r="BT10" s="634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35">
        <f>IF($B10="","",COUNTIF(BT10:CX10,"✓"))</f>
        <v/>
      </c>
      <c r="CZ10" s="636">
        <f>IF($B10="","",COUNTIF(BT10:CX10,"✗"))</f>
        <v/>
      </c>
      <c r="DA10" s="637">
        <f>IF($B10="","",IFERROR(ROUND(COUNTIF(BT10:CX10,"✓")/(COUNTIF(BT10:CX10,"✓")+COUNTIF(BT10:CX10,"✗"))*100,0),""))</f>
        <v/>
      </c>
      <c r="DB10" s="634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35">
        <f>IF($B10="","",COUNTIF(DB10:EF10,"✓"))</f>
        <v/>
      </c>
      <c r="EH10" s="636">
        <f>IF($B10="","",COUNTIF(DB10:EF10,"✗"))</f>
        <v/>
      </c>
      <c r="EI10" s="637">
        <f>IF($B10="","",IFERROR(ROUND(COUNTIF(DB10:EF10,"✓")/(COUNTIF(DB10:EF10,"✓")+COUNTIF(DB10:EF10,"✗"))*100,0),""))</f>
        <v/>
      </c>
      <c r="EJ10" s="634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35">
        <f>IF($B10="","",COUNTIF(EJ10:FN10,"✓"))</f>
        <v/>
      </c>
      <c r="FP10" s="636">
        <f>IF($B10="","",COUNTIF(EJ10:FN10,"✗"))</f>
        <v/>
      </c>
      <c r="FQ10" s="637">
        <f>IF($B10="","",IFERROR(ROUND(COUNTIF(EJ10:FN10,"✓")/(COUNTIF(EJ10:FN10,"✓")+COUNTIF(EJ10:FN10,"✗"))*100,0),""))</f>
        <v/>
      </c>
    </row>
    <row r="11">
      <c r="A11" s="218" t="n">
        <v>3</v>
      </c>
      <c r="B11" s="219">
        <f>'ข้อมูลนักเรียน'!T11</f>
        <v/>
      </c>
      <c r="C11" s="633">
        <f>IF(B11="","",IFERROR(COUNTIF(D11:FQ11,"✓")/(COUNTIF(D11:FQ11,"✓")+COUNTIF(D11:FQ11,"✗")),""))</f>
        <v/>
      </c>
      <c r="D11" s="634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35">
        <f>IF($B11="","",COUNTIF(D11:AH11,"✓"))</f>
        <v/>
      </c>
      <c r="AJ11" s="636">
        <f>IF($B11="","",COUNTIF(D11:AH11,"✗"))</f>
        <v/>
      </c>
      <c r="AK11" s="637">
        <f>IF($B11="","",IFERROR(ROUND(COUNTIF(D11:AH11,"✓")/(COUNTIF(D11:AH11,"✓")+COUNTIF(D11:AH11,"✗"))*100,0),""))</f>
        <v/>
      </c>
      <c r="AL11" s="634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35">
        <f>IF($B11="","",COUNTIF(AL11:BP11,"✓"))</f>
        <v/>
      </c>
      <c r="BR11" s="636">
        <f>IF($B11="","",COUNTIF(AL11:BP11,"✗"))</f>
        <v/>
      </c>
      <c r="BS11" s="637">
        <f>IF($B11="","",IFERROR(ROUND(COUNTIF(AL11:BP11,"✓")/(COUNTIF(AL11:BP11,"✓")+COUNTIF(AL11:BP11,"✗"))*100,0),""))</f>
        <v/>
      </c>
      <c r="BT11" s="634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35">
        <f>IF($B11="","",COUNTIF(BT11:CX11,"✓"))</f>
        <v/>
      </c>
      <c r="CZ11" s="636">
        <f>IF($B11="","",COUNTIF(BT11:CX11,"✗"))</f>
        <v/>
      </c>
      <c r="DA11" s="637">
        <f>IF($B11="","",IFERROR(ROUND(COUNTIF(BT11:CX11,"✓")/(COUNTIF(BT11:CX11,"✓")+COUNTIF(BT11:CX11,"✗"))*100,0),""))</f>
        <v/>
      </c>
      <c r="DB11" s="634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35">
        <f>IF($B11="","",COUNTIF(DB11:EF11,"✓"))</f>
        <v/>
      </c>
      <c r="EH11" s="636">
        <f>IF($B11="","",COUNTIF(DB11:EF11,"✗"))</f>
        <v/>
      </c>
      <c r="EI11" s="637">
        <f>IF($B11="","",IFERROR(ROUND(COUNTIF(DB11:EF11,"✓")/(COUNTIF(DB11:EF11,"✓")+COUNTIF(DB11:EF11,"✗"))*100,0),""))</f>
        <v/>
      </c>
      <c r="EJ11" s="634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35">
        <f>IF($B11="","",COUNTIF(EJ11:FN11,"✓"))</f>
        <v/>
      </c>
      <c r="FP11" s="636">
        <f>IF($B11="","",COUNTIF(EJ11:FN11,"✗"))</f>
        <v/>
      </c>
      <c r="FQ11" s="637">
        <f>IF($B11="","",IFERROR(ROUND(COUNTIF(EJ11:FN11,"✓")/(COUNTIF(EJ11:FN11,"✓")+COUNTIF(EJ11:FN11,"✗"))*100,0),""))</f>
        <v/>
      </c>
    </row>
    <row r="12">
      <c r="A12" s="226" t="n">
        <v>4</v>
      </c>
      <c r="B12" s="227">
        <f>'ข้อมูลนักเรียน'!T12</f>
        <v/>
      </c>
      <c r="C12" s="633">
        <f>IF(B12="","",IFERROR(COUNTIF(D12:FQ12,"✓")/(COUNTIF(D12:FQ12,"✓")+COUNTIF(D12:FQ12,"✗")),""))</f>
        <v/>
      </c>
      <c r="D12" s="634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35">
        <f>IF($B12="","",COUNTIF(D12:AH12,"✓"))</f>
        <v/>
      </c>
      <c r="AJ12" s="636">
        <f>IF($B12="","",COUNTIF(D12:AH12,"✗"))</f>
        <v/>
      </c>
      <c r="AK12" s="637">
        <f>IF($B12="","",IFERROR(ROUND(COUNTIF(D12:AH12,"✓")/(COUNTIF(D12:AH12,"✓")+COUNTIF(D12:AH12,"✗"))*100,0),""))</f>
        <v/>
      </c>
      <c r="AL12" s="634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35">
        <f>IF($B12="","",COUNTIF(AL12:BP12,"✓"))</f>
        <v/>
      </c>
      <c r="BR12" s="636">
        <f>IF($B12="","",COUNTIF(AL12:BP12,"✗"))</f>
        <v/>
      </c>
      <c r="BS12" s="637">
        <f>IF($B12="","",IFERROR(ROUND(COUNTIF(AL12:BP12,"✓")/(COUNTIF(AL12:BP12,"✓")+COUNTIF(AL12:BP12,"✗"))*100,0),""))</f>
        <v/>
      </c>
      <c r="BT12" s="634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35">
        <f>IF($B12="","",COUNTIF(BT12:CX12,"✓"))</f>
        <v/>
      </c>
      <c r="CZ12" s="636">
        <f>IF($B12="","",COUNTIF(BT12:CX12,"✗"))</f>
        <v/>
      </c>
      <c r="DA12" s="637">
        <f>IF($B12="","",IFERROR(ROUND(COUNTIF(BT12:CX12,"✓")/(COUNTIF(BT12:CX12,"✓")+COUNTIF(BT12:CX12,"✗"))*100,0),""))</f>
        <v/>
      </c>
      <c r="DB12" s="634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35">
        <f>IF($B12="","",COUNTIF(DB12:EF12,"✓"))</f>
        <v/>
      </c>
      <c r="EH12" s="636">
        <f>IF($B12="","",COUNTIF(DB12:EF12,"✗"))</f>
        <v/>
      </c>
      <c r="EI12" s="637">
        <f>IF($B12="","",IFERROR(ROUND(COUNTIF(DB12:EF12,"✓")/(COUNTIF(DB12:EF12,"✓")+COUNTIF(DB12:EF12,"✗"))*100,0),""))</f>
        <v/>
      </c>
      <c r="EJ12" s="634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35">
        <f>IF($B12="","",COUNTIF(EJ12:FN12,"✓"))</f>
        <v/>
      </c>
      <c r="FP12" s="636">
        <f>IF($B12="","",COUNTIF(EJ12:FN12,"✗"))</f>
        <v/>
      </c>
      <c r="FQ12" s="637">
        <f>IF($B12="","",IFERROR(ROUND(COUNTIF(EJ12:FN12,"✓")/(COUNTIF(EJ12:FN12,"✓")+COUNTIF(EJ12:FN12,"✗"))*100,0),""))</f>
        <v/>
      </c>
    </row>
    <row r="13">
      <c r="A13" s="218" t="n">
        <v>5</v>
      </c>
      <c r="B13" s="219">
        <f>'ข้อมูลนักเรียน'!T13</f>
        <v/>
      </c>
      <c r="C13" s="633">
        <f>IF(B13="","",IFERROR(COUNTIF(D13:FQ13,"✓")/(COUNTIF(D13:FQ13,"✓")+COUNTIF(D13:FQ13,"✗")),""))</f>
        <v/>
      </c>
      <c r="D13" s="634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35">
        <f>IF($B13="","",COUNTIF(D13:AH13,"✓"))</f>
        <v/>
      </c>
      <c r="AJ13" s="636">
        <f>IF($B13="","",COUNTIF(D13:AH13,"✗"))</f>
        <v/>
      </c>
      <c r="AK13" s="637">
        <f>IF($B13="","",IFERROR(ROUND(COUNTIF(D13:AH13,"✓")/(COUNTIF(D13:AH13,"✓")+COUNTIF(D13:AH13,"✗"))*100,0),""))</f>
        <v/>
      </c>
      <c r="AL13" s="634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35">
        <f>IF($B13="","",COUNTIF(AL13:BP13,"✓"))</f>
        <v/>
      </c>
      <c r="BR13" s="636">
        <f>IF($B13="","",COUNTIF(AL13:BP13,"✗"))</f>
        <v/>
      </c>
      <c r="BS13" s="637">
        <f>IF($B13="","",IFERROR(ROUND(COUNTIF(AL13:BP13,"✓")/(COUNTIF(AL13:BP13,"✓")+COUNTIF(AL13:BP13,"✗"))*100,0),""))</f>
        <v/>
      </c>
      <c r="BT13" s="634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35">
        <f>IF($B13="","",COUNTIF(BT13:CX13,"✓"))</f>
        <v/>
      </c>
      <c r="CZ13" s="636">
        <f>IF($B13="","",COUNTIF(BT13:CX13,"✗"))</f>
        <v/>
      </c>
      <c r="DA13" s="637">
        <f>IF($B13="","",IFERROR(ROUND(COUNTIF(BT13:CX13,"✓")/(COUNTIF(BT13:CX13,"✓")+COUNTIF(BT13:CX13,"✗"))*100,0),""))</f>
        <v/>
      </c>
      <c r="DB13" s="634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35">
        <f>IF($B13="","",COUNTIF(DB13:EF13,"✓"))</f>
        <v/>
      </c>
      <c r="EH13" s="636">
        <f>IF($B13="","",COUNTIF(DB13:EF13,"✗"))</f>
        <v/>
      </c>
      <c r="EI13" s="637">
        <f>IF($B13="","",IFERROR(ROUND(COUNTIF(DB13:EF13,"✓")/(COUNTIF(DB13:EF13,"✓")+COUNTIF(DB13:EF13,"✗"))*100,0),""))</f>
        <v/>
      </c>
      <c r="EJ13" s="634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35">
        <f>IF($B13="","",COUNTIF(EJ13:FN13,"✓"))</f>
        <v/>
      </c>
      <c r="FP13" s="636">
        <f>IF($B13="","",COUNTIF(EJ13:FN13,"✗"))</f>
        <v/>
      </c>
      <c r="FQ13" s="637">
        <f>IF($B13="","",IFERROR(ROUND(COUNTIF(EJ13:FN13,"✓")/(COUNTIF(EJ13:FN13,"✓")+COUNTIF(EJ13:FN13,"✗"))*100,0),""))</f>
        <v/>
      </c>
    </row>
    <row r="14">
      <c r="A14" s="638" t="inlineStr">
        <is>
          <t>เข้าร่วม (คน)</t>
        </is>
      </c>
      <c r="B14" s="184" t="n"/>
      <c r="C14" s="184" t="n"/>
      <c r="D14" s="639">
        <f>IF(D$4&lt;&gt;1,"",COUNTIF(D9:D13,"✓"))</f>
        <v/>
      </c>
      <c r="E14" s="398">
        <f>IF(E$4&lt;&gt;1,"",COUNTIF(E9:E13,"✓"))</f>
        <v/>
      </c>
      <c r="F14" s="398">
        <f>IF(F$4&lt;&gt;1,"",COUNTIF(F9:F13,"✓"))</f>
        <v/>
      </c>
      <c r="G14" s="398">
        <f>IF(G$4&lt;&gt;1,"",COUNTIF(G9:G13,"✓"))</f>
        <v/>
      </c>
      <c r="H14" s="398">
        <f>IF(H$4&lt;&gt;1,"",COUNTIF(H9:H13,"✓"))</f>
        <v/>
      </c>
      <c r="I14" s="398">
        <f>IF(I$4&lt;&gt;1,"",COUNTIF(I9:I13,"✓"))</f>
        <v/>
      </c>
      <c r="J14" s="398">
        <f>IF(J$4&lt;&gt;1,"",COUNTIF(J9:J13,"✓"))</f>
        <v/>
      </c>
      <c r="K14" s="398">
        <f>IF(K$4&lt;&gt;1,"",COUNTIF(K9:K13,"✓"))</f>
        <v/>
      </c>
      <c r="L14" s="398">
        <f>IF(L$4&lt;&gt;1,"",COUNTIF(L9:L13,"✓"))</f>
        <v/>
      </c>
      <c r="M14" s="398">
        <f>IF(M$4&lt;&gt;1,"",COUNTIF(M9:M13,"✓"))</f>
        <v/>
      </c>
      <c r="N14" s="398">
        <f>IF(N$4&lt;&gt;1,"",COUNTIF(N9:N13,"✓"))</f>
        <v/>
      </c>
      <c r="O14" s="398">
        <f>IF(O$4&lt;&gt;1,"",COUNTIF(O9:O13,"✓"))</f>
        <v/>
      </c>
      <c r="P14" s="398">
        <f>IF(P$4&lt;&gt;1,"",COUNTIF(P9:P13,"✓"))</f>
        <v/>
      </c>
      <c r="Q14" s="398">
        <f>IF(Q$4&lt;&gt;1,"",COUNTIF(Q9:Q13,"✓"))</f>
        <v/>
      </c>
      <c r="R14" s="398">
        <f>IF(R$4&lt;&gt;1,"",COUNTIF(R9:R13,"✓"))</f>
        <v/>
      </c>
      <c r="S14" s="398">
        <f>IF(S$4&lt;&gt;1,"",COUNTIF(S9:S13,"✓"))</f>
        <v/>
      </c>
      <c r="T14" s="398">
        <f>IF(T$4&lt;&gt;1,"",COUNTIF(T9:T13,"✓"))</f>
        <v/>
      </c>
      <c r="U14" s="398">
        <f>IF(U$4&lt;&gt;1,"",COUNTIF(U9:U13,"✓"))</f>
        <v/>
      </c>
      <c r="V14" s="398">
        <f>IF(V$4&lt;&gt;1,"",COUNTIF(V9:V13,"✓"))</f>
        <v/>
      </c>
      <c r="W14" s="398">
        <f>IF(W$4&lt;&gt;1,"",COUNTIF(W9:W13,"✓"))</f>
        <v/>
      </c>
      <c r="X14" s="398">
        <f>IF(X$4&lt;&gt;1,"",COUNTIF(X9:X13,"✓"))</f>
        <v/>
      </c>
      <c r="Y14" s="398">
        <f>IF(Y$4&lt;&gt;1,"",COUNTIF(Y9:Y13,"✓"))</f>
        <v/>
      </c>
      <c r="Z14" s="398">
        <f>IF(Z$4&lt;&gt;1,"",COUNTIF(Z9:Z13,"✓"))</f>
        <v/>
      </c>
      <c r="AA14" s="398">
        <f>IF(AA$4&lt;&gt;1,"",COUNTIF(AA9:AA13,"✓"))</f>
        <v/>
      </c>
      <c r="AB14" s="398">
        <f>IF(AB$4&lt;&gt;1,"",COUNTIF(AB9:AB13,"✓"))</f>
        <v/>
      </c>
      <c r="AC14" s="398">
        <f>IF(AC$4&lt;&gt;1,"",COUNTIF(AC9:AC13,"✓"))</f>
        <v/>
      </c>
      <c r="AD14" s="398">
        <f>IF(AD$4&lt;&gt;1,"",COUNTIF(AD9:AD13,"✓"))</f>
        <v/>
      </c>
      <c r="AE14" s="398">
        <f>IF(AE$4&lt;&gt;1,"",COUNTIF(AE9:AE13,"✓"))</f>
        <v/>
      </c>
      <c r="AF14" s="398">
        <f>IF(AF$4&lt;&gt;1,"",COUNTIF(AF9:AF13,"✓"))</f>
        <v/>
      </c>
      <c r="AG14" s="398">
        <f>IF(AG$4&lt;&gt;1,"",COUNTIF(AG9:AG13,"✓"))</f>
        <v/>
      </c>
      <c r="AH14" s="398">
        <f>IF(AH$4&lt;&gt;1,"",COUNTIF(AH9:AH13,"✓"))</f>
        <v/>
      </c>
      <c r="AI14" s="640">
        <f>SUM(AI9:AI13)</f>
        <v/>
      </c>
      <c r="AJ14" s="641">
        <f>SUM(AJ9:AJ13)</f>
        <v/>
      </c>
      <c r="AK14" s="642">
        <f>IFERROR(AVERAGE(AK9:AK13),"")</f>
        <v/>
      </c>
      <c r="AL14" s="639">
        <f>IF(AL$4&lt;&gt;1,"",COUNTIF(AL9:AL13,"✓"))</f>
        <v/>
      </c>
      <c r="AM14" s="398">
        <f>IF(AM$4&lt;&gt;1,"",COUNTIF(AM9:AM13,"✓"))</f>
        <v/>
      </c>
      <c r="AN14" s="398">
        <f>IF(AN$4&lt;&gt;1,"",COUNTIF(AN9:AN13,"✓"))</f>
        <v/>
      </c>
      <c r="AO14" s="398">
        <f>IF(AO$4&lt;&gt;1,"",COUNTIF(AO9:AO13,"✓"))</f>
        <v/>
      </c>
      <c r="AP14" s="398">
        <f>IF(AP$4&lt;&gt;1,"",COUNTIF(AP9:AP13,"✓"))</f>
        <v/>
      </c>
      <c r="AQ14" s="398">
        <f>IF(AQ$4&lt;&gt;1,"",COUNTIF(AQ9:AQ13,"✓"))</f>
        <v/>
      </c>
      <c r="AR14" s="398">
        <f>IF(AR$4&lt;&gt;1,"",COUNTIF(AR9:AR13,"✓"))</f>
        <v/>
      </c>
      <c r="AS14" s="398">
        <f>IF(AS$4&lt;&gt;1,"",COUNTIF(AS9:AS13,"✓"))</f>
        <v/>
      </c>
      <c r="AT14" s="398">
        <f>IF(AT$4&lt;&gt;1,"",COUNTIF(AT9:AT13,"✓"))</f>
        <v/>
      </c>
      <c r="AU14" s="398">
        <f>IF(AU$4&lt;&gt;1,"",COUNTIF(AU9:AU13,"✓"))</f>
        <v/>
      </c>
      <c r="AV14" s="398">
        <f>IF(AV$4&lt;&gt;1,"",COUNTIF(AV9:AV13,"✓"))</f>
        <v/>
      </c>
      <c r="AW14" s="398">
        <f>IF(AW$4&lt;&gt;1,"",COUNTIF(AW9:AW13,"✓"))</f>
        <v/>
      </c>
      <c r="AX14" s="398">
        <f>IF(AX$4&lt;&gt;1,"",COUNTIF(AX9:AX13,"✓"))</f>
        <v/>
      </c>
      <c r="AY14" s="398">
        <f>IF(AY$4&lt;&gt;1,"",COUNTIF(AY9:AY13,"✓"))</f>
        <v/>
      </c>
      <c r="AZ14" s="398">
        <f>IF(AZ$4&lt;&gt;1,"",COUNTIF(AZ9:AZ13,"✓"))</f>
        <v/>
      </c>
      <c r="BA14" s="398">
        <f>IF(BA$4&lt;&gt;1,"",COUNTIF(BA9:BA13,"✓"))</f>
        <v/>
      </c>
      <c r="BB14" s="398">
        <f>IF(BB$4&lt;&gt;1,"",COUNTIF(BB9:BB13,"✓"))</f>
        <v/>
      </c>
      <c r="BC14" s="398">
        <f>IF(BC$4&lt;&gt;1,"",COUNTIF(BC9:BC13,"✓"))</f>
        <v/>
      </c>
      <c r="BD14" s="398">
        <f>IF(BD$4&lt;&gt;1,"",COUNTIF(BD9:BD13,"✓"))</f>
        <v/>
      </c>
      <c r="BE14" s="398">
        <f>IF(BE$4&lt;&gt;1,"",COUNTIF(BE9:BE13,"✓"))</f>
        <v/>
      </c>
      <c r="BF14" s="398">
        <f>IF(BF$4&lt;&gt;1,"",COUNTIF(BF9:BF13,"✓"))</f>
        <v/>
      </c>
      <c r="BG14" s="398">
        <f>IF(BG$4&lt;&gt;1,"",COUNTIF(BG9:BG13,"✓"))</f>
        <v/>
      </c>
      <c r="BH14" s="398">
        <f>IF(BH$4&lt;&gt;1,"",COUNTIF(BH9:BH13,"✓"))</f>
        <v/>
      </c>
      <c r="BI14" s="398">
        <f>IF(BI$4&lt;&gt;1,"",COUNTIF(BI9:BI13,"✓"))</f>
        <v/>
      </c>
      <c r="BJ14" s="398">
        <f>IF(BJ$4&lt;&gt;1,"",COUNTIF(BJ9:BJ13,"✓"))</f>
        <v/>
      </c>
      <c r="BK14" s="398">
        <f>IF(BK$4&lt;&gt;1,"",COUNTIF(BK9:BK13,"✓"))</f>
        <v/>
      </c>
      <c r="BL14" s="398">
        <f>IF(BL$4&lt;&gt;1,"",COUNTIF(BL9:BL13,"✓"))</f>
        <v/>
      </c>
      <c r="BM14" s="398">
        <f>IF(BM$4&lt;&gt;1,"",COUNTIF(BM9:BM13,"✓"))</f>
        <v/>
      </c>
      <c r="BN14" s="398">
        <f>IF(BN$4&lt;&gt;1,"",COUNTIF(BN9:BN13,"✓"))</f>
        <v/>
      </c>
      <c r="BO14" s="398">
        <f>IF(BO$4&lt;&gt;1,"",COUNTIF(BO9:BO13,"✓"))</f>
        <v/>
      </c>
      <c r="BP14" s="398">
        <f>IF(BP$4&lt;&gt;1,"",COUNTIF(BP9:BP13,"✓"))</f>
        <v/>
      </c>
      <c r="BQ14" s="640">
        <f>SUM(BQ9:BQ13)</f>
        <v/>
      </c>
      <c r="BR14" s="641">
        <f>SUM(BR9:BR13)</f>
        <v/>
      </c>
      <c r="BS14" s="642">
        <f>IFERROR(AVERAGE(BS9:BS13),"")</f>
        <v/>
      </c>
      <c r="BT14" s="639">
        <f>IF(BT$4&lt;&gt;1,"",COUNTIF(BT9:BT13,"✓"))</f>
        <v/>
      </c>
      <c r="BU14" s="398">
        <f>IF(BU$4&lt;&gt;1,"",COUNTIF(BU9:BU13,"✓"))</f>
        <v/>
      </c>
      <c r="BV14" s="398">
        <f>IF(BV$4&lt;&gt;1,"",COUNTIF(BV9:BV13,"✓"))</f>
        <v/>
      </c>
      <c r="BW14" s="398">
        <f>IF(BW$4&lt;&gt;1,"",COUNTIF(BW9:BW13,"✓"))</f>
        <v/>
      </c>
      <c r="BX14" s="398">
        <f>IF(BX$4&lt;&gt;1,"",COUNTIF(BX9:BX13,"✓"))</f>
        <v/>
      </c>
      <c r="BY14" s="398">
        <f>IF(BY$4&lt;&gt;1,"",COUNTIF(BY9:BY13,"✓"))</f>
        <v/>
      </c>
      <c r="BZ14" s="398">
        <f>IF(BZ$4&lt;&gt;1,"",COUNTIF(BZ9:BZ13,"✓"))</f>
        <v/>
      </c>
      <c r="CA14" s="398">
        <f>IF(CA$4&lt;&gt;1,"",COUNTIF(CA9:CA13,"✓"))</f>
        <v/>
      </c>
      <c r="CB14" s="398">
        <f>IF(CB$4&lt;&gt;1,"",COUNTIF(CB9:CB13,"✓"))</f>
        <v/>
      </c>
      <c r="CC14" s="398">
        <f>IF(CC$4&lt;&gt;1,"",COUNTIF(CC9:CC13,"✓"))</f>
        <v/>
      </c>
      <c r="CD14" s="398">
        <f>IF(CD$4&lt;&gt;1,"",COUNTIF(CD9:CD13,"✓"))</f>
        <v/>
      </c>
      <c r="CE14" s="398">
        <f>IF(CE$4&lt;&gt;1,"",COUNTIF(CE9:CE13,"✓"))</f>
        <v/>
      </c>
      <c r="CF14" s="398">
        <f>IF(CF$4&lt;&gt;1,"",COUNTIF(CF9:CF13,"✓"))</f>
        <v/>
      </c>
      <c r="CG14" s="398">
        <f>IF(CG$4&lt;&gt;1,"",COUNTIF(CG9:CG13,"✓"))</f>
        <v/>
      </c>
      <c r="CH14" s="398">
        <f>IF(CH$4&lt;&gt;1,"",COUNTIF(CH9:CH13,"✓"))</f>
        <v/>
      </c>
      <c r="CI14" s="398">
        <f>IF(CI$4&lt;&gt;1,"",COUNTIF(CI9:CI13,"✓"))</f>
        <v/>
      </c>
      <c r="CJ14" s="398">
        <f>IF(CJ$4&lt;&gt;1,"",COUNTIF(CJ9:CJ13,"✓"))</f>
        <v/>
      </c>
      <c r="CK14" s="398">
        <f>IF(CK$4&lt;&gt;1,"",COUNTIF(CK9:CK13,"✓"))</f>
        <v/>
      </c>
      <c r="CL14" s="398">
        <f>IF(CL$4&lt;&gt;1,"",COUNTIF(CL9:CL13,"✓"))</f>
        <v/>
      </c>
      <c r="CM14" s="398">
        <f>IF(CM$4&lt;&gt;1,"",COUNTIF(CM9:CM13,"✓"))</f>
        <v/>
      </c>
      <c r="CN14" s="398">
        <f>IF(CN$4&lt;&gt;1,"",COUNTIF(CN9:CN13,"✓"))</f>
        <v/>
      </c>
      <c r="CO14" s="398">
        <f>IF(CO$4&lt;&gt;1,"",COUNTIF(CO9:CO13,"✓"))</f>
        <v/>
      </c>
      <c r="CP14" s="398">
        <f>IF(CP$4&lt;&gt;1,"",COUNTIF(CP9:CP13,"✓"))</f>
        <v/>
      </c>
      <c r="CQ14" s="398">
        <f>IF(CQ$4&lt;&gt;1,"",COUNTIF(CQ9:CQ13,"✓"))</f>
        <v/>
      </c>
      <c r="CR14" s="398">
        <f>IF(CR$4&lt;&gt;1,"",COUNTIF(CR9:CR13,"✓"))</f>
        <v/>
      </c>
      <c r="CS14" s="398">
        <f>IF(CS$4&lt;&gt;1,"",COUNTIF(CS9:CS13,"✓"))</f>
        <v/>
      </c>
      <c r="CT14" s="398">
        <f>IF(CT$4&lt;&gt;1,"",COUNTIF(CT9:CT13,"✓"))</f>
        <v/>
      </c>
      <c r="CU14" s="398">
        <f>IF(CU$4&lt;&gt;1,"",COUNTIF(CU9:CU13,"✓"))</f>
        <v/>
      </c>
      <c r="CV14" s="398">
        <f>IF(CV$4&lt;&gt;1,"",COUNTIF(CV9:CV13,"✓"))</f>
        <v/>
      </c>
      <c r="CW14" s="398">
        <f>IF(CW$4&lt;&gt;1,"",COUNTIF(CW9:CW13,"✓"))</f>
        <v/>
      </c>
      <c r="CX14" s="398">
        <f>IF(CX$4&lt;&gt;1,"",COUNTIF(CX9:CX13,"✓"))</f>
        <v/>
      </c>
      <c r="CY14" s="640">
        <f>SUM(CY9:CY13)</f>
        <v/>
      </c>
      <c r="CZ14" s="641">
        <f>SUM(CZ9:CZ13)</f>
        <v/>
      </c>
      <c r="DA14" s="642">
        <f>IFERROR(AVERAGE(DA9:DA13),"")</f>
        <v/>
      </c>
      <c r="DB14" s="639">
        <f>IF(DB$4&lt;&gt;1,"",COUNTIF(DB9:DB13,"✓"))</f>
        <v/>
      </c>
      <c r="DC14" s="398">
        <f>IF(DC$4&lt;&gt;1,"",COUNTIF(DC9:DC13,"✓"))</f>
        <v/>
      </c>
      <c r="DD14" s="398">
        <f>IF(DD$4&lt;&gt;1,"",COUNTIF(DD9:DD13,"✓"))</f>
        <v/>
      </c>
      <c r="DE14" s="398">
        <f>IF(DE$4&lt;&gt;1,"",COUNTIF(DE9:DE13,"✓"))</f>
        <v/>
      </c>
      <c r="DF14" s="398">
        <f>IF(DF$4&lt;&gt;1,"",COUNTIF(DF9:DF13,"✓"))</f>
        <v/>
      </c>
      <c r="DG14" s="398">
        <f>IF(DG$4&lt;&gt;1,"",COUNTIF(DG9:DG13,"✓"))</f>
        <v/>
      </c>
      <c r="DH14" s="398">
        <f>IF(DH$4&lt;&gt;1,"",COUNTIF(DH9:DH13,"✓"))</f>
        <v/>
      </c>
      <c r="DI14" s="398">
        <f>IF(DI$4&lt;&gt;1,"",COUNTIF(DI9:DI13,"✓"))</f>
        <v/>
      </c>
      <c r="DJ14" s="398">
        <f>IF(DJ$4&lt;&gt;1,"",COUNTIF(DJ9:DJ13,"✓"))</f>
        <v/>
      </c>
      <c r="DK14" s="398">
        <f>IF(DK$4&lt;&gt;1,"",COUNTIF(DK9:DK13,"✓"))</f>
        <v/>
      </c>
      <c r="DL14" s="398">
        <f>IF(DL$4&lt;&gt;1,"",COUNTIF(DL9:DL13,"✓"))</f>
        <v/>
      </c>
      <c r="DM14" s="398">
        <f>IF(DM$4&lt;&gt;1,"",COUNTIF(DM9:DM13,"✓"))</f>
        <v/>
      </c>
      <c r="DN14" s="398">
        <f>IF(DN$4&lt;&gt;1,"",COUNTIF(DN9:DN13,"✓"))</f>
        <v/>
      </c>
      <c r="DO14" s="398">
        <f>IF(DO$4&lt;&gt;1,"",COUNTIF(DO9:DO13,"✓"))</f>
        <v/>
      </c>
      <c r="DP14" s="398">
        <f>IF(DP$4&lt;&gt;1,"",COUNTIF(DP9:DP13,"✓"))</f>
        <v/>
      </c>
      <c r="DQ14" s="398">
        <f>IF(DQ$4&lt;&gt;1,"",COUNTIF(DQ9:DQ13,"✓"))</f>
        <v/>
      </c>
      <c r="DR14" s="398">
        <f>IF(DR$4&lt;&gt;1,"",COUNTIF(DR9:DR13,"✓"))</f>
        <v/>
      </c>
      <c r="DS14" s="398">
        <f>IF(DS$4&lt;&gt;1,"",COUNTIF(DS9:DS13,"✓"))</f>
        <v/>
      </c>
      <c r="DT14" s="398">
        <f>IF(DT$4&lt;&gt;1,"",COUNTIF(DT9:DT13,"✓"))</f>
        <v/>
      </c>
      <c r="DU14" s="398">
        <f>IF(DU$4&lt;&gt;1,"",COUNTIF(DU9:DU13,"✓"))</f>
        <v/>
      </c>
      <c r="DV14" s="398">
        <f>IF(DV$4&lt;&gt;1,"",COUNTIF(DV9:DV13,"✓"))</f>
        <v/>
      </c>
      <c r="DW14" s="398">
        <f>IF(DW$4&lt;&gt;1,"",COUNTIF(DW9:DW13,"✓"))</f>
        <v/>
      </c>
      <c r="DX14" s="398">
        <f>IF(DX$4&lt;&gt;1,"",COUNTIF(DX9:DX13,"✓"))</f>
        <v/>
      </c>
      <c r="DY14" s="398">
        <f>IF(DY$4&lt;&gt;1,"",COUNTIF(DY9:DY13,"✓"))</f>
        <v/>
      </c>
      <c r="DZ14" s="398">
        <f>IF(DZ$4&lt;&gt;1,"",COUNTIF(DZ9:DZ13,"✓"))</f>
        <v/>
      </c>
      <c r="EA14" s="398">
        <f>IF(EA$4&lt;&gt;1,"",COUNTIF(EA9:EA13,"✓"))</f>
        <v/>
      </c>
      <c r="EB14" s="398">
        <f>IF(EB$4&lt;&gt;1,"",COUNTIF(EB9:EB13,"✓"))</f>
        <v/>
      </c>
      <c r="EC14" s="398">
        <f>IF(EC$4&lt;&gt;1,"",COUNTIF(EC9:EC13,"✓"))</f>
        <v/>
      </c>
      <c r="ED14" s="398">
        <f>IF(ED$4&lt;&gt;1,"",COUNTIF(ED9:ED13,"✓"))</f>
        <v/>
      </c>
      <c r="EE14" s="398">
        <f>IF(EE$4&lt;&gt;1,"",COUNTIF(EE9:EE13,"✓"))</f>
        <v/>
      </c>
      <c r="EF14" s="398">
        <f>IF(EF$4&lt;&gt;1,"",COUNTIF(EF9:EF13,"✓"))</f>
        <v/>
      </c>
      <c r="EG14" s="640">
        <f>SUM(EG9:EG13)</f>
        <v/>
      </c>
      <c r="EH14" s="641">
        <f>SUM(EH9:EH13)</f>
        <v/>
      </c>
      <c r="EI14" s="642">
        <f>IFERROR(AVERAGE(EI9:EI13),"")</f>
        <v/>
      </c>
      <c r="EJ14" s="639">
        <f>IF(EJ$4&lt;&gt;1,"",COUNTIF(EJ9:EJ13,"✓"))</f>
        <v/>
      </c>
      <c r="EK14" s="398">
        <f>IF(EK$4&lt;&gt;1,"",COUNTIF(EK9:EK13,"✓"))</f>
        <v/>
      </c>
      <c r="EL14" s="398">
        <f>IF(EL$4&lt;&gt;1,"",COUNTIF(EL9:EL13,"✓"))</f>
        <v/>
      </c>
      <c r="EM14" s="398">
        <f>IF(EM$4&lt;&gt;1,"",COUNTIF(EM9:EM13,"✓"))</f>
        <v/>
      </c>
      <c r="EN14" s="398">
        <f>IF(EN$4&lt;&gt;1,"",COUNTIF(EN9:EN13,"✓"))</f>
        <v/>
      </c>
      <c r="EO14" s="398">
        <f>IF(EO$4&lt;&gt;1,"",COUNTIF(EO9:EO13,"✓"))</f>
        <v/>
      </c>
      <c r="EP14" s="398">
        <f>IF(EP$4&lt;&gt;1,"",COUNTIF(EP9:EP13,"✓"))</f>
        <v/>
      </c>
      <c r="EQ14" s="398">
        <f>IF(EQ$4&lt;&gt;1,"",COUNTIF(EQ9:EQ13,"✓"))</f>
        <v/>
      </c>
      <c r="ER14" s="398">
        <f>IF(ER$4&lt;&gt;1,"",COUNTIF(ER9:ER13,"✓"))</f>
        <v/>
      </c>
      <c r="ES14" s="398">
        <f>IF(ES$4&lt;&gt;1,"",COUNTIF(ES9:ES13,"✓"))</f>
        <v/>
      </c>
      <c r="ET14" s="398">
        <f>IF(ET$4&lt;&gt;1,"",COUNTIF(ET9:ET13,"✓"))</f>
        <v/>
      </c>
      <c r="EU14" s="398">
        <f>IF(EU$4&lt;&gt;1,"",COUNTIF(EU9:EU13,"✓"))</f>
        <v/>
      </c>
      <c r="EV14" s="398">
        <f>IF(EV$4&lt;&gt;1,"",COUNTIF(EV9:EV13,"✓"))</f>
        <v/>
      </c>
      <c r="EW14" s="398">
        <f>IF(EW$4&lt;&gt;1,"",COUNTIF(EW9:EW13,"✓"))</f>
        <v/>
      </c>
      <c r="EX14" s="398">
        <f>IF(EX$4&lt;&gt;1,"",COUNTIF(EX9:EX13,"✓"))</f>
        <v/>
      </c>
      <c r="EY14" s="398">
        <f>IF(EY$4&lt;&gt;1,"",COUNTIF(EY9:EY13,"✓"))</f>
        <v/>
      </c>
      <c r="EZ14" s="398">
        <f>IF(EZ$4&lt;&gt;1,"",COUNTIF(EZ9:EZ13,"✓"))</f>
        <v/>
      </c>
      <c r="FA14" s="398">
        <f>IF(FA$4&lt;&gt;1,"",COUNTIF(FA9:FA13,"✓"))</f>
        <v/>
      </c>
      <c r="FB14" s="398">
        <f>IF(FB$4&lt;&gt;1,"",COUNTIF(FB9:FB13,"✓"))</f>
        <v/>
      </c>
      <c r="FC14" s="398">
        <f>IF(FC$4&lt;&gt;1,"",COUNTIF(FC9:FC13,"✓"))</f>
        <v/>
      </c>
      <c r="FD14" s="398">
        <f>IF(FD$4&lt;&gt;1,"",COUNTIF(FD9:FD13,"✓"))</f>
        <v/>
      </c>
      <c r="FE14" s="398">
        <f>IF(FE$4&lt;&gt;1,"",COUNTIF(FE9:FE13,"✓"))</f>
        <v/>
      </c>
      <c r="FF14" s="398">
        <f>IF(FF$4&lt;&gt;1,"",COUNTIF(FF9:FF13,"✓"))</f>
        <v/>
      </c>
      <c r="FG14" s="398">
        <f>IF(FG$4&lt;&gt;1,"",COUNTIF(FG9:FG13,"✓"))</f>
        <v/>
      </c>
      <c r="FH14" s="398">
        <f>IF(FH$4&lt;&gt;1,"",COUNTIF(FH9:FH13,"✓"))</f>
        <v/>
      </c>
      <c r="FI14" s="398">
        <f>IF(FI$4&lt;&gt;1,"",COUNTIF(FI9:FI13,"✓"))</f>
        <v/>
      </c>
      <c r="FJ14" s="398">
        <f>IF(FJ$4&lt;&gt;1,"",COUNTIF(FJ9:FJ13,"✓"))</f>
        <v/>
      </c>
      <c r="FK14" s="398">
        <f>IF(FK$4&lt;&gt;1,"",COUNTIF(FK9:FK13,"✓"))</f>
        <v/>
      </c>
      <c r="FL14" s="398">
        <f>IF(FL$4&lt;&gt;1,"",COUNTIF(FL9:FL13,"✓"))</f>
        <v/>
      </c>
      <c r="FM14" s="398">
        <f>IF(FM$4&lt;&gt;1,"",COUNTIF(FM9:FM13,"✓"))</f>
        <v/>
      </c>
      <c r="FN14" s="398">
        <f>IF(FN$4&lt;&gt;1,"",COUNTIF(FN9:FN13,"✓"))</f>
        <v/>
      </c>
      <c r="FO14" s="640">
        <f>SUM(FO9:FO13)</f>
        <v/>
      </c>
      <c r="FP14" s="641">
        <f>SUM(FP9:FP13)</f>
        <v/>
      </c>
      <c r="FQ14" s="642">
        <f>IFERROR(AVERAGE(FQ9:FQ13),"")</f>
        <v/>
      </c>
    </row>
    <row r="15">
      <c r="A15" s="638" t="inlineStr">
        <is>
          <t>ไม่เข้าร่วม (คน)</t>
        </is>
      </c>
      <c r="B15" s="184" t="n"/>
      <c r="C15" s="184" t="n"/>
      <c r="D15" s="639">
        <f>IF(D$4&lt;&gt;1,"",COUNTIF(D9:D13,"✗"))</f>
        <v/>
      </c>
      <c r="E15" s="398">
        <f>IF(E$4&lt;&gt;1,"",COUNTIF(E9:E13,"✗"))</f>
        <v/>
      </c>
      <c r="F15" s="398">
        <f>IF(F$4&lt;&gt;1,"",COUNTIF(F9:F13,"✗"))</f>
        <v/>
      </c>
      <c r="G15" s="398">
        <f>IF(G$4&lt;&gt;1,"",COUNTIF(G9:G13,"✗"))</f>
        <v/>
      </c>
      <c r="H15" s="398">
        <f>IF(H$4&lt;&gt;1,"",COUNTIF(H9:H13,"✗"))</f>
        <v/>
      </c>
      <c r="I15" s="398">
        <f>IF(I$4&lt;&gt;1,"",COUNTIF(I9:I13,"✗"))</f>
        <v/>
      </c>
      <c r="J15" s="398">
        <f>IF(J$4&lt;&gt;1,"",COUNTIF(J9:J13,"✗"))</f>
        <v/>
      </c>
      <c r="K15" s="398">
        <f>IF(K$4&lt;&gt;1,"",COUNTIF(K9:K13,"✗"))</f>
        <v/>
      </c>
      <c r="L15" s="398">
        <f>IF(L$4&lt;&gt;1,"",COUNTIF(L9:L13,"✗"))</f>
        <v/>
      </c>
      <c r="M15" s="398">
        <f>IF(M$4&lt;&gt;1,"",COUNTIF(M9:M13,"✗"))</f>
        <v/>
      </c>
      <c r="N15" s="398">
        <f>IF(N$4&lt;&gt;1,"",COUNTIF(N9:N13,"✗"))</f>
        <v/>
      </c>
      <c r="O15" s="398">
        <f>IF(O$4&lt;&gt;1,"",COUNTIF(O9:O13,"✗"))</f>
        <v/>
      </c>
      <c r="P15" s="398">
        <f>IF(P$4&lt;&gt;1,"",COUNTIF(P9:P13,"✗"))</f>
        <v/>
      </c>
      <c r="Q15" s="398">
        <f>IF(Q$4&lt;&gt;1,"",COUNTIF(Q9:Q13,"✗"))</f>
        <v/>
      </c>
      <c r="R15" s="398">
        <f>IF(R$4&lt;&gt;1,"",COUNTIF(R9:R13,"✗"))</f>
        <v/>
      </c>
      <c r="S15" s="398">
        <f>IF(S$4&lt;&gt;1,"",COUNTIF(S9:S13,"✗"))</f>
        <v/>
      </c>
      <c r="T15" s="398">
        <f>IF(T$4&lt;&gt;1,"",COUNTIF(T9:T13,"✗"))</f>
        <v/>
      </c>
      <c r="U15" s="398">
        <f>IF(U$4&lt;&gt;1,"",COUNTIF(U9:U13,"✗"))</f>
        <v/>
      </c>
      <c r="V15" s="398">
        <f>IF(V$4&lt;&gt;1,"",COUNTIF(V9:V13,"✗"))</f>
        <v/>
      </c>
      <c r="W15" s="398">
        <f>IF(W$4&lt;&gt;1,"",COUNTIF(W9:W13,"✗"))</f>
        <v/>
      </c>
      <c r="X15" s="398">
        <f>IF(X$4&lt;&gt;1,"",COUNTIF(X9:X13,"✗"))</f>
        <v/>
      </c>
      <c r="Y15" s="398">
        <f>IF(Y$4&lt;&gt;1,"",COUNTIF(Y9:Y13,"✗"))</f>
        <v/>
      </c>
      <c r="Z15" s="398">
        <f>IF(Z$4&lt;&gt;1,"",COUNTIF(Z9:Z13,"✗"))</f>
        <v/>
      </c>
      <c r="AA15" s="398">
        <f>IF(AA$4&lt;&gt;1,"",COUNTIF(AA9:AA13,"✗"))</f>
        <v/>
      </c>
      <c r="AB15" s="398">
        <f>IF(AB$4&lt;&gt;1,"",COUNTIF(AB9:AB13,"✗"))</f>
        <v/>
      </c>
      <c r="AC15" s="398">
        <f>IF(AC$4&lt;&gt;1,"",COUNTIF(AC9:AC13,"✗"))</f>
        <v/>
      </c>
      <c r="AD15" s="398">
        <f>IF(AD$4&lt;&gt;1,"",COUNTIF(AD9:AD13,"✗"))</f>
        <v/>
      </c>
      <c r="AE15" s="398">
        <f>IF(AE$4&lt;&gt;1,"",COUNTIF(AE9:AE13,"✗"))</f>
        <v/>
      </c>
      <c r="AF15" s="398">
        <f>IF(AF$4&lt;&gt;1,"",COUNTIF(AF9:AF13,"✗"))</f>
        <v/>
      </c>
      <c r="AG15" s="398">
        <f>IF(AG$4&lt;&gt;1,"",COUNTIF(AG9:AG13,"✗"))</f>
        <v/>
      </c>
      <c r="AH15" s="398">
        <f>IF(AH$4&lt;&gt;1,"",COUNTIF(AH9:AH13,"✗"))</f>
        <v/>
      </c>
      <c r="AI15" s="640" t="n"/>
      <c r="AJ15" s="641" t="n"/>
      <c r="AK15" s="642" t="n"/>
      <c r="AL15" s="639">
        <f>IF(AL$4&lt;&gt;1,"",COUNTIF(AL9:AL13,"✗"))</f>
        <v/>
      </c>
      <c r="AM15" s="398">
        <f>IF(AM$4&lt;&gt;1,"",COUNTIF(AM9:AM13,"✗"))</f>
        <v/>
      </c>
      <c r="AN15" s="398">
        <f>IF(AN$4&lt;&gt;1,"",COUNTIF(AN9:AN13,"✗"))</f>
        <v/>
      </c>
      <c r="AO15" s="398">
        <f>IF(AO$4&lt;&gt;1,"",COUNTIF(AO9:AO13,"✗"))</f>
        <v/>
      </c>
      <c r="AP15" s="398">
        <f>IF(AP$4&lt;&gt;1,"",COUNTIF(AP9:AP13,"✗"))</f>
        <v/>
      </c>
      <c r="AQ15" s="398">
        <f>IF(AQ$4&lt;&gt;1,"",COUNTIF(AQ9:AQ13,"✗"))</f>
        <v/>
      </c>
      <c r="AR15" s="398">
        <f>IF(AR$4&lt;&gt;1,"",COUNTIF(AR9:AR13,"✗"))</f>
        <v/>
      </c>
      <c r="AS15" s="398">
        <f>IF(AS$4&lt;&gt;1,"",COUNTIF(AS9:AS13,"✗"))</f>
        <v/>
      </c>
      <c r="AT15" s="398">
        <f>IF(AT$4&lt;&gt;1,"",COUNTIF(AT9:AT13,"✗"))</f>
        <v/>
      </c>
      <c r="AU15" s="398">
        <f>IF(AU$4&lt;&gt;1,"",COUNTIF(AU9:AU13,"✗"))</f>
        <v/>
      </c>
      <c r="AV15" s="398">
        <f>IF(AV$4&lt;&gt;1,"",COUNTIF(AV9:AV13,"✗"))</f>
        <v/>
      </c>
      <c r="AW15" s="398">
        <f>IF(AW$4&lt;&gt;1,"",COUNTIF(AW9:AW13,"✗"))</f>
        <v/>
      </c>
      <c r="AX15" s="398">
        <f>IF(AX$4&lt;&gt;1,"",COUNTIF(AX9:AX13,"✗"))</f>
        <v/>
      </c>
      <c r="AY15" s="398">
        <f>IF(AY$4&lt;&gt;1,"",COUNTIF(AY9:AY13,"✗"))</f>
        <v/>
      </c>
      <c r="AZ15" s="398">
        <f>IF(AZ$4&lt;&gt;1,"",COUNTIF(AZ9:AZ13,"✗"))</f>
        <v/>
      </c>
      <c r="BA15" s="398">
        <f>IF(BA$4&lt;&gt;1,"",COUNTIF(BA9:BA13,"✗"))</f>
        <v/>
      </c>
      <c r="BB15" s="398">
        <f>IF(BB$4&lt;&gt;1,"",COUNTIF(BB9:BB13,"✗"))</f>
        <v/>
      </c>
      <c r="BC15" s="398">
        <f>IF(BC$4&lt;&gt;1,"",COUNTIF(BC9:BC13,"✗"))</f>
        <v/>
      </c>
      <c r="BD15" s="398">
        <f>IF(BD$4&lt;&gt;1,"",COUNTIF(BD9:BD13,"✗"))</f>
        <v/>
      </c>
      <c r="BE15" s="398">
        <f>IF(BE$4&lt;&gt;1,"",COUNTIF(BE9:BE13,"✗"))</f>
        <v/>
      </c>
      <c r="BF15" s="398">
        <f>IF(BF$4&lt;&gt;1,"",COUNTIF(BF9:BF13,"✗"))</f>
        <v/>
      </c>
      <c r="BG15" s="398">
        <f>IF(BG$4&lt;&gt;1,"",COUNTIF(BG9:BG13,"✗"))</f>
        <v/>
      </c>
      <c r="BH15" s="398">
        <f>IF(BH$4&lt;&gt;1,"",COUNTIF(BH9:BH13,"✗"))</f>
        <v/>
      </c>
      <c r="BI15" s="398">
        <f>IF(BI$4&lt;&gt;1,"",COUNTIF(BI9:BI13,"✗"))</f>
        <v/>
      </c>
      <c r="BJ15" s="398">
        <f>IF(BJ$4&lt;&gt;1,"",COUNTIF(BJ9:BJ13,"✗"))</f>
        <v/>
      </c>
      <c r="BK15" s="398">
        <f>IF(BK$4&lt;&gt;1,"",COUNTIF(BK9:BK13,"✗"))</f>
        <v/>
      </c>
      <c r="BL15" s="398">
        <f>IF(BL$4&lt;&gt;1,"",COUNTIF(BL9:BL13,"✗"))</f>
        <v/>
      </c>
      <c r="BM15" s="398">
        <f>IF(BM$4&lt;&gt;1,"",COUNTIF(BM9:BM13,"✗"))</f>
        <v/>
      </c>
      <c r="BN15" s="398">
        <f>IF(BN$4&lt;&gt;1,"",COUNTIF(BN9:BN13,"✗"))</f>
        <v/>
      </c>
      <c r="BO15" s="398">
        <f>IF(BO$4&lt;&gt;1,"",COUNTIF(BO9:BO13,"✗"))</f>
        <v/>
      </c>
      <c r="BP15" s="398">
        <f>IF(BP$4&lt;&gt;1,"",COUNTIF(BP9:BP13,"✗"))</f>
        <v/>
      </c>
      <c r="BQ15" s="640" t="n"/>
      <c r="BR15" s="641" t="n"/>
      <c r="BS15" s="642" t="n"/>
      <c r="BT15" s="639">
        <f>IF(BT$4&lt;&gt;1,"",COUNTIF(BT9:BT13,"✗"))</f>
        <v/>
      </c>
      <c r="BU15" s="398">
        <f>IF(BU$4&lt;&gt;1,"",COUNTIF(BU9:BU13,"✗"))</f>
        <v/>
      </c>
      <c r="BV15" s="398">
        <f>IF(BV$4&lt;&gt;1,"",COUNTIF(BV9:BV13,"✗"))</f>
        <v/>
      </c>
      <c r="BW15" s="398">
        <f>IF(BW$4&lt;&gt;1,"",COUNTIF(BW9:BW13,"✗"))</f>
        <v/>
      </c>
      <c r="BX15" s="398">
        <f>IF(BX$4&lt;&gt;1,"",COUNTIF(BX9:BX13,"✗"))</f>
        <v/>
      </c>
      <c r="BY15" s="398">
        <f>IF(BY$4&lt;&gt;1,"",COUNTIF(BY9:BY13,"✗"))</f>
        <v/>
      </c>
      <c r="BZ15" s="398">
        <f>IF(BZ$4&lt;&gt;1,"",COUNTIF(BZ9:BZ13,"✗"))</f>
        <v/>
      </c>
      <c r="CA15" s="398">
        <f>IF(CA$4&lt;&gt;1,"",COUNTIF(CA9:CA13,"✗"))</f>
        <v/>
      </c>
      <c r="CB15" s="398">
        <f>IF(CB$4&lt;&gt;1,"",COUNTIF(CB9:CB13,"✗"))</f>
        <v/>
      </c>
      <c r="CC15" s="398">
        <f>IF(CC$4&lt;&gt;1,"",COUNTIF(CC9:CC13,"✗"))</f>
        <v/>
      </c>
      <c r="CD15" s="398">
        <f>IF(CD$4&lt;&gt;1,"",COUNTIF(CD9:CD13,"✗"))</f>
        <v/>
      </c>
      <c r="CE15" s="398">
        <f>IF(CE$4&lt;&gt;1,"",COUNTIF(CE9:CE13,"✗"))</f>
        <v/>
      </c>
      <c r="CF15" s="398">
        <f>IF(CF$4&lt;&gt;1,"",COUNTIF(CF9:CF13,"✗"))</f>
        <v/>
      </c>
      <c r="CG15" s="398">
        <f>IF(CG$4&lt;&gt;1,"",COUNTIF(CG9:CG13,"✗"))</f>
        <v/>
      </c>
      <c r="CH15" s="398">
        <f>IF(CH$4&lt;&gt;1,"",COUNTIF(CH9:CH13,"✗"))</f>
        <v/>
      </c>
      <c r="CI15" s="398">
        <f>IF(CI$4&lt;&gt;1,"",COUNTIF(CI9:CI13,"✗"))</f>
        <v/>
      </c>
      <c r="CJ15" s="398">
        <f>IF(CJ$4&lt;&gt;1,"",COUNTIF(CJ9:CJ13,"✗"))</f>
        <v/>
      </c>
      <c r="CK15" s="398">
        <f>IF(CK$4&lt;&gt;1,"",COUNTIF(CK9:CK13,"✗"))</f>
        <v/>
      </c>
      <c r="CL15" s="398">
        <f>IF(CL$4&lt;&gt;1,"",COUNTIF(CL9:CL13,"✗"))</f>
        <v/>
      </c>
      <c r="CM15" s="398">
        <f>IF(CM$4&lt;&gt;1,"",COUNTIF(CM9:CM13,"✗"))</f>
        <v/>
      </c>
      <c r="CN15" s="398">
        <f>IF(CN$4&lt;&gt;1,"",COUNTIF(CN9:CN13,"✗"))</f>
        <v/>
      </c>
      <c r="CO15" s="398">
        <f>IF(CO$4&lt;&gt;1,"",COUNTIF(CO9:CO13,"✗"))</f>
        <v/>
      </c>
      <c r="CP15" s="398">
        <f>IF(CP$4&lt;&gt;1,"",COUNTIF(CP9:CP13,"✗"))</f>
        <v/>
      </c>
      <c r="CQ15" s="398">
        <f>IF(CQ$4&lt;&gt;1,"",COUNTIF(CQ9:CQ13,"✗"))</f>
        <v/>
      </c>
      <c r="CR15" s="398">
        <f>IF(CR$4&lt;&gt;1,"",COUNTIF(CR9:CR13,"✗"))</f>
        <v/>
      </c>
      <c r="CS15" s="398">
        <f>IF(CS$4&lt;&gt;1,"",COUNTIF(CS9:CS13,"✗"))</f>
        <v/>
      </c>
      <c r="CT15" s="398">
        <f>IF(CT$4&lt;&gt;1,"",COUNTIF(CT9:CT13,"✗"))</f>
        <v/>
      </c>
      <c r="CU15" s="398">
        <f>IF(CU$4&lt;&gt;1,"",COUNTIF(CU9:CU13,"✗"))</f>
        <v/>
      </c>
      <c r="CV15" s="398">
        <f>IF(CV$4&lt;&gt;1,"",COUNTIF(CV9:CV13,"✗"))</f>
        <v/>
      </c>
      <c r="CW15" s="398">
        <f>IF(CW$4&lt;&gt;1,"",COUNTIF(CW9:CW13,"✗"))</f>
        <v/>
      </c>
      <c r="CX15" s="398">
        <f>IF(CX$4&lt;&gt;1,"",COUNTIF(CX9:CX13,"✗"))</f>
        <v/>
      </c>
      <c r="CY15" s="640" t="n"/>
      <c r="CZ15" s="641" t="n"/>
      <c r="DA15" s="642" t="n"/>
      <c r="DB15" s="639">
        <f>IF(DB$4&lt;&gt;1,"",COUNTIF(DB9:DB13,"✗"))</f>
        <v/>
      </c>
      <c r="DC15" s="398">
        <f>IF(DC$4&lt;&gt;1,"",COUNTIF(DC9:DC13,"✗"))</f>
        <v/>
      </c>
      <c r="DD15" s="398">
        <f>IF(DD$4&lt;&gt;1,"",COUNTIF(DD9:DD13,"✗"))</f>
        <v/>
      </c>
      <c r="DE15" s="398">
        <f>IF(DE$4&lt;&gt;1,"",COUNTIF(DE9:DE13,"✗"))</f>
        <v/>
      </c>
      <c r="DF15" s="398">
        <f>IF(DF$4&lt;&gt;1,"",COUNTIF(DF9:DF13,"✗"))</f>
        <v/>
      </c>
      <c r="DG15" s="398">
        <f>IF(DG$4&lt;&gt;1,"",COUNTIF(DG9:DG13,"✗"))</f>
        <v/>
      </c>
      <c r="DH15" s="398">
        <f>IF(DH$4&lt;&gt;1,"",COUNTIF(DH9:DH13,"✗"))</f>
        <v/>
      </c>
      <c r="DI15" s="398">
        <f>IF(DI$4&lt;&gt;1,"",COUNTIF(DI9:DI13,"✗"))</f>
        <v/>
      </c>
      <c r="DJ15" s="398">
        <f>IF(DJ$4&lt;&gt;1,"",COUNTIF(DJ9:DJ13,"✗"))</f>
        <v/>
      </c>
      <c r="DK15" s="398">
        <f>IF(DK$4&lt;&gt;1,"",COUNTIF(DK9:DK13,"✗"))</f>
        <v/>
      </c>
      <c r="DL15" s="398">
        <f>IF(DL$4&lt;&gt;1,"",COUNTIF(DL9:DL13,"✗"))</f>
        <v/>
      </c>
      <c r="DM15" s="398">
        <f>IF(DM$4&lt;&gt;1,"",COUNTIF(DM9:DM13,"✗"))</f>
        <v/>
      </c>
      <c r="DN15" s="398">
        <f>IF(DN$4&lt;&gt;1,"",COUNTIF(DN9:DN13,"✗"))</f>
        <v/>
      </c>
      <c r="DO15" s="398">
        <f>IF(DO$4&lt;&gt;1,"",COUNTIF(DO9:DO13,"✗"))</f>
        <v/>
      </c>
      <c r="DP15" s="398">
        <f>IF(DP$4&lt;&gt;1,"",COUNTIF(DP9:DP13,"✗"))</f>
        <v/>
      </c>
      <c r="DQ15" s="398">
        <f>IF(DQ$4&lt;&gt;1,"",COUNTIF(DQ9:DQ13,"✗"))</f>
        <v/>
      </c>
      <c r="DR15" s="398">
        <f>IF(DR$4&lt;&gt;1,"",COUNTIF(DR9:DR13,"✗"))</f>
        <v/>
      </c>
      <c r="DS15" s="398">
        <f>IF(DS$4&lt;&gt;1,"",COUNTIF(DS9:DS13,"✗"))</f>
        <v/>
      </c>
      <c r="DT15" s="398">
        <f>IF(DT$4&lt;&gt;1,"",COUNTIF(DT9:DT13,"✗"))</f>
        <v/>
      </c>
      <c r="DU15" s="398">
        <f>IF(DU$4&lt;&gt;1,"",COUNTIF(DU9:DU13,"✗"))</f>
        <v/>
      </c>
      <c r="DV15" s="398">
        <f>IF(DV$4&lt;&gt;1,"",COUNTIF(DV9:DV13,"✗"))</f>
        <v/>
      </c>
      <c r="DW15" s="398">
        <f>IF(DW$4&lt;&gt;1,"",COUNTIF(DW9:DW13,"✗"))</f>
        <v/>
      </c>
      <c r="DX15" s="398">
        <f>IF(DX$4&lt;&gt;1,"",COUNTIF(DX9:DX13,"✗"))</f>
        <v/>
      </c>
      <c r="DY15" s="398">
        <f>IF(DY$4&lt;&gt;1,"",COUNTIF(DY9:DY13,"✗"))</f>
        <v/>
      </c>
      <c r="DZ15" s="398">
        <f>IF(DZ$4&lt;&gt;1,"",COUNTIF(DZ9:DZ13,"✗"))</f>
        <v/>
      </c>
      <c r="EA15" s="398">
        <f>IF(EA$4&lt;&gt;1,"",COUNTIF(EA9:EA13,"✗"))</f>
        <v/>
      </c>
      <c r="EB15" s="398">
        <f>IF(EB$4&lt;&gt;1,"",COUNTIF(EB9:EB13,"✗"))</f>
        <v/>
      </c>
      <c r="EC15" s="398">
        <f>IF(EC$4&lt;&gt;1,"",COUNTIF(EC9:EC13,"✗"))</f>
        <v/>
      </c>
      <c r="ED15" s="398">
        <f>IF(ED$4&lt;&gt;1,"",COUNTIF(ED9:ED13,"✗"))</f>
        <v/>
      </c>
      <c r="EE15" s="398">
        <f>IF(EE$4&lt;&gt;1,"",COUNTIF(EE9:EE13,"✗"))</f>
        <v/>
      </c>
      <c r="EF15" s="398">
        <f>IF(EF$4&lt;&gt;1,"",COUNTIF(EF9:EF13,"✗"))</f>
        <v/>
      </c>
      <c r="EG15" s="640" t="n"/>
      <c r="EH15" s="641" t="n"/>
      <c r="EI15" s="642" t="n"/>
      <c r="EJ15" s="639">
        <f>IF(EJ$4&lt;&gt;1,"",COUNTIF(EJ9:EJ13,"✗"))</f>
        <v/>
      </c>
      <c r="EK15" s="398">
        <f>IF(EK$4&lt;&gt;1,"",COUNTIF(EK9:EK13,"✗"))</f>
        <v/>
      </c>
      <c r="EL15" s="398">
        <f>IF(EL$4&lt;&gt;1,"",COUNTIF(EL9:EL13,"✗"))</f>
        <v/>
      </c>
      <c r="EM15" s="398">
        <f>IF(EM$4&lt;&gt;1,"",COUNTIF(EM9:EM13,"✗"))</f>
        <v/>
      </c>
      <c r="EN15" s="398">
        <f>IF(EN$4&lt;&gt;1,"",COUNTIF(EN9:EN13,"✗"))</f>
        <v/>
      </c>
      <c r="EO15" s="398">
        <f>IF(EO$4&lt;&gt;1,"",COUNTIF(EO9:EO13,"✗"))</f>
        <v/>
      </c>
      <c r="EP15" s="398">
        <f>IF(EP$4&lt;&gt;1,"",COUNTIF(EP9:EP13,"✗"))</f>
        <v/>
      </c>
      <c r="EQ15" s="398">
        <f>IF(EQ$4&lt;&gt;1,"",COUNTIF(EQ9:EQ13,"✗"))</f>
        <v/>
      </c>
      <c r="ER15" s="398">
        <f>IF(ER$4&lt;&gt;1,"",COUNTIF(ER9:ER13,"✗"))</f>
        <v/>
      </c>
      <c r="ES15" s="398">
        <f>IF(ES$4&lt;&gt;1,"",COUNTIF(ES9:ES13,"✗"))</f>
        <v/>
      </c>
      <c r="ET15" s="398">
        <f>IF(ET$4&lt;&gt;1,"",COUNTIF(ET9:ET13,"✗"))</f>
        <v/>
      </c>
      <c r="EU15" s="398">
        <f>IF(EU$4&lt;&gt;1,"",COUNTIF(EU9:EU13,"✗"))</f>
        <v/>
      </c>
      <c r="EV15" s="398">
        <f>IF(EV$4&lt;&gt;1,"",COUNTIF(EV9:EV13,"✗"))</f>
        <v/>
      </c>
      <c r="EW15" s="398">
        <f>IF(EW$4&lt;&gt;1,"",COUNTIF(EW9:EW13,"✗"))</f>
        <v/>
      </c>
      <c r="EX15" s="398">
        <f>IF(EX$4&lt;&gt;1,"",COUNTIF(EX9:EX13,"✗"))</f>
        <v/>
      </c>
      <c r="EY15" s="398">
        <f>IF(EY$4&lt;&gt;1,"",COUNTIF(EY9:EY13,"✗"))</f>
        <v/>
      </c>
      <c r="EZ15" s="398">
        <f>IF(EZ$4&lt;&gt;1,"",COUNTIF(EZ9:EZ13,"✗"))</f>
        <v/>
      </c>
      <c r="FA15" s="398">
        <f>IF(FA$4&lt;&gt;1,"",COUNTIF(FA9:FA13,"✗"))</f>
        <v/>
      </c>
      <c r="FB15" s="398">
        <f>IF(FB$4&lt;&gt;1,"",COUNTIF(FB9:FB13,"✗"))</f>
        <v/>
      </c>
      <c r="FC15" s="398">
        <f>IF(FC$4&lt;&gt;1,"",COUNTIF(FC9:FC13,"✗"))</f>
        <v/>
      </c>
      <c r="FD15" s="398">
        <f>IF(FD$4&lt;&gt;1,"",COUNTIF(FD9:FD13,"✗"))</f>
        <v/>
      </c>
      <c r="FE15" s="398">
        <f>IF(FE$4&lt;&gt;1,"",COUNTIF(FE9:FE13,"✗"))</f>
        <v/>
      </c>
      <c r="FF15" s="398">
        <f>IF(FF$4&lt;&gt;1,"",COUNTIF(FF9:FF13,"✗"))</f>
        <v/>
      </c>
      <c r="FG15" s="398">
        <f>IF(FG$4&lt;&gt;1,"",COUNTIF(FG9:FG13,"✗"))</f>
        <v/>
      </c>
      <c r="FH15" s="398">
        <f>IF(FH$4&lt;&gt;1,"",COUNTIF(FH9:FH13,"✗"))</f>
        <v/>
      </c>
      <c r="FI15" s="398">
        <f>IF(FI$4&lt;&gt;1,"",COUNTIF(FI9:FI13,"✗"))</f>
        <v/>
      </c>
      <c r="FJ15" s="398">
        <f>IF(FJ$4&lt;&gt;1,"",COUNTIF(FJ9:FJ13,"✗"))</f>
        <v/>
      </c>
      <c r="FK15" s="398">
        <f>IF(FK$4&lt;&gt;1,"",COUNTIF(FK9:FK13,"✗"))</f>
        <v/>
      </c>
      <c r="FL15" s="398">
        <f>IF(FL$4&lt;&gt;1,"",COUNTIF(FL9:FL13,"✗"))</f>
        <v/>
      </c>
      <c r="FM15" s="398">
        <f>IF(FM$4&lt;&gt;1,"",COUNTIF(FM9:FM13,"✗"))</f>
        <v/>
      </c>
      <c r="FN15" s="398">
        <f>IF(FN$4&lt;&gt;1,"",COUNTIF(FN9:FN13,"✗"))</f>
        <v/>
      </c>
      <c r="FO15" s="640" t="n"/>
      <c r="FP15" s="641" t="n"/>
      <c r="FQ15" s="642" t="n"/>
    </row>
    <row r="16">
      <c r="A16" s="638" t="inlineStr"/>
      <c r="B16" s="184" t="n"/>
      <c r="C16" s="184" t="n"/>
      <c r="D16" s="643" t="n"/>
      <c r="E16" s="644" t="n"/>
      <c r="F16" s="644" t="n"/>
      <c r="G16" s="644" t="n"/>
      <c r="H16" s="644" t="n"/>
      <c r="I16" s="644" t="n"/>
      <c r="J16" s="644" t="n"/>
      <c r="K16" s="644" t="n"/>
      <c r="L16" s="644" t="n"/>
      <c r="M16" s="644" t="n"/>
      <c r="N16" s="644" t="n"/>
      <c r="O16" s="644" t="n"/>
      <c r="P16" s="644" t="n"/>
      <c r="Q16" s="644" t="n"/>
      <c r="R16" s="644" t="n"/>
      <c r="S16" s="644" t="n"/>
      <c r="T16" s="644" t="n"/>
      <c r="U16" s="644" t="n"/>
      <c r="V16" s="644" t="n"/>
      <c r="W16" s="644" t="n"/>
      <c r="X16" s="644" t="n"/>
      <c r="Y16" s="644" t="n"/>
      <c r="Z16" s="644" t="n"/>
      <c r="AA16" s="644" t="n"/>
      <c r="AB16" s="644" t="n"/>
      <c r="AC16" s="644" t="n"/>
      <c r="AD16" s="644" t="n"/>
      <c r="AE16" s="644" t="n"/>
      <c r="AF16" s="644" t="n"/>
      <c r="AG16" s="644" t="n"/>
      <c r="AH16" s="644" t="n"/>
      <c r="AI16" s="640" t="n"/>
      <c r="AJ16" s="641" t="n"/>
      <c r="AK16" s="642" t="n"/>
      <c r="AL16" s="643" t="n"/>
      <c r="AM16" s="644" t="n"/>
      <c r="AN16" s="644" t="n"/>
      <c r="AO16" s="644" t="n"/>
      <c r="AP16" s="644" t="n"/>
      <c r="AQ16" s="644" t="n"/>
      <c r="AR16" s="644" t="n"/>
      <c r="AS16" s="644" t="n"/>
      <c r="AT16" s="644" t="n"/>
      <c r="AU16" s="644" t="n"/>
      <c r="AV16" s="644" t="n"/>
      <c r="AW16" s="644" t="n"/>
      <c r="AX16" s="644" t="n"/>
      <c r="AY16" s="644" t="n"/>
      <c r="AZ16" s="644" t="n"/>
      <c r="BA16" s="644" t="n"/>
      <c r="BB16" s="644" t="n"/>
      <c r="BC16" s="644" t="n"/>
      <c r="BD16" s="644" t="n"/>
      <c r="BE16" s="644" t="n"/>
      <c r="BF16" s="644" t="n"/>
      <c r="BG16" s="644" t="n"/>
      <c r="BH16" s="644" t="n"/>
      <c r="BI16" s="644" t="n"/>
      <c r="BJ16" s="644" t="n"/>
      <c r="BK16" s="644" t="n"/>
      <c r="BL16" s="644" t="n"/>
      <c r="BM16" s="644" t="n"/>
      <c r="BN16" s="644" t="n"/>
      <c r="BO16" s="644" t="n"/>
      <c r="BP16" s="644" t="n"/>
      <c r="BQ16" s="640" t="n"/>
      <c r="BR16" s="641" t="n"/>
      <c r="BS16" s="642" t="n"/>
      <c r="BT16" s="643" t="n"/>
      <c r="BU16" s="644" t="n"/>
      <c r="BV16" s="644" t="n"/>
      <c r="BW16" s="644" t="n"/>
      <c r="BX16" s="644" t="n"/>
      <c r="BY16" s="644" t="n"/>
      <c r="BZ16" s="644" t="n"/>
      <c r="CA16" s="644" t="n"/>
      <c r="CB16" s="644" t="n"/>
      <c r="CC16" s="644" t="n"/>
      <c r="CD16" s="644" t="n"/>
      <c r="CE16" s="644" t="n"/>
      <c r="CF16" s="644" t="n"/>
      <c r="CG16" s="644" t="n"/>
      <c r="CH16" s="644" t="n"/>
      <c r="CI16" s="644" t="n"/>
      <c r="CJ16" s="644" t="n"/>
      <c r="CK16" s="644" t="n"/>
      <c r="CL16" s="644" t="n"/>
      <c r="CM16" s="644" t="n"/>
      <c r="CN16" s="644" t="n"/>
      <c r="CO16" s="644" t="n"/>
      <c r="CP16" s="644" t="n"/>
      <c r="CQ16" s="644" t="n"/>
      <c r="CR16" s="644" t="n"/>
      <c r="CS16" s="644" t="n"/>
      <c r="CT16" s="644" t="n"/>
      <c r="CU16" s="644" t="n"/>
      <c r="CV16" s="644" t="n"/>
      <c r="CW16" s="644" t="n"/>
      <c r="CX16" s="644" t="n"/>
      <c r="CY16" s="640" t="n"/>
      <c r="CZ16" s="641" t="n"/>
      <c r="DA16" s="642" t="n"/>
      <c r="DB16" s="643" t="n"/>
      <c r="DC16" s="644" t="n"/>
      <c r="DD16" s="644" t="n"/>
      <c r="DE16" s="644" t="n"/>
      <c r="DF16" s="644" t="n"/>
      <c r="DG16" s="644" t="n"/>
      <c r="DH16" s="644" t="n"/>
      <c r="DI16" s="644" t="n"/>
      <c r="DJ16" s="644" t="n"/>
      <c r="DK16" s="644" t="n"/>
      <c r="DL16" s="644" t="n"/>
      <c r="DM16" s="644" t="n"/>
      <c r="DN16" s="644" t="n"/>
      <c r="DO16" s="644" t="n"/>
      <c r="DP16" s="644" t="n"/>
      <c r="DQ16" s="644" t="n"/>
      <c r="DR16" s="644" t="n"/>
      <c r="DS16" s="644" t="n"/>
      <c r="DT16" s="644" t="n"/>
      <c r="DU16" s="644" t="n"/>
      <c r="DV16" s="644" t="n"/>
      <c r="DW16" s="644" t="n"/>
      <c r="DX16" s="644" t="n"/>
      <c r="DY16" s="644" t="n"/>
      <c r="DZ16" s="644" t="n"/>
      <c r="EA16" s="644" t="n"/>
      <c r="EB16" s="644" t="n"/>
      <c r="EC16" s="644" t="n"/>
      <c r="ED16" s="644" t="n"/>
      <c r="EE16" s="644" t="n"/>
      <c r="EF16" s="644" t="n"/>
      <c r="EG16" s="640" t="n"/>
      <c r="EH16" s="641" t="n"/>
      <c r="EI16" s="642" t="n"/>
      <c r="EJ16" s="643" t="n"/>
      <c r="EK16" s="644" t="n"/>
      <c r="EL16" s="644" t="n"/>
      <c r="EM16" s="644" t="n"/>
      <c r="EN16" s="644" t="n"/>
      <c r="EO16" s="644" t="n"/>
      <c r="EP16" s="644" t="n"/>
      <c r="EQ16" s="644" t="n"/>
      <c r="ER16" s="644" t="n"/>
      <c r="ES16" s="644" t="n"/>
      <c r="ET16" s="644" t="n"/>
      <c r="EU16" s="644" t="n"/>
      <c r="EV16" s="644" t="n"/>
      <c r="EW16" s="644" t="n"/>
      <c r="EX16" s="644" t="n"/>
      <c r="EY16" s="644" t="n"/>
      <c r="EZ16" s="644" t="n"/>
      <c r="FA16" s="644" t="n"/>
      <c r="FB16" s="644" t="n"/>
      <c r="FC16" s="644" t="n"/>
      <c r="FD16" s="644" t="n"/>
      <c r="FE16" s="644" t="n"/>
      <c r="FF16" s="644" t="n"/>
      <c r="FG16" s="644" t="n"/>
      <c r="FH16" s="644" t="n"/>
      <c r="FI16" s="644" t="n"/>
      <c r="FJ16" s="644" t="n"/>
      <c r="FK16" s="644" t="n"/>
      <c r="FL16" s="644" t="n"/>
      <c r="FM16" s="644" t="n"/>
      <c r="FN16" s="644" t="n"/>
      <c r="FO16" s="640" t="n"/>
      <c r="FP16" s="641" t="n"/>
      <c r="FQ16" s="642" t="n"/>
    </row>
    <row r="17" ht="92" customHeight="1">
      <c r="A17" s="638" t="inlineStr">
        <is>
          <t>หัวข้อ / กิจกรรม</t>
        </is>
      </c>
      <c r="B17" s="184" t="n"/>
      <c r="C17" s="184" t="n"/>
      <c r="D17" s="645" t="n"/>
      <c r="E17" s="527" t="n"/>
      <c r="F17" s="527" t="n"/>
      <c r="G17" s="527" t="n"/>
      <c r="H17" s="527" t="n"/>
      <c r="I17" s="527" t="n"/>
      <c r="J17" s="527" t="n"/>
      <c r="K17" s="527" t="n"/>
      <c r="L17" s="527" t="n"/>
      <c r="M17" s="527" t="n"/>
      <c r="N17" s="527" t="n"/>
      <c r="O17" s="527" t="n"/>
      <c r="P17" s="527" t="n"/>
      <c r="Q17" s="527" t="n"/>
      <c r="R17" s="527" t="n"/>
      <c r="S17" s="527" t="n"/>
      <c r="T17" s="527" t="n"/>
      <c r="U17" s="527" t="n"/>
      <c r="V17" s="527" t="n"/>
      <c r="W17" s="527" t="n"/>
      <c r="X17" s="527" t="n"/>
      <c r="Y17" s="527" t="n"/>
      <c r="Z17" s="527" t="n"/>
      <c r="AA17" s="527" t="n"/>
      <c r="AB17" s="527" t="n"/>
      <c r="AC17" s="527" t="n"/>
      <c r="AD17" s="527" t="n"/>
      <c r="AE17" s="527" t="n"/>
      <c r="AF17" s="527" t="n"/>
      <c r="AG17" s="527" t="n"/>
      <c r="AH17" s="527" t="n"/>
      <c r="AI17" s="640" t="n"/>
      <c r="AJ17" s="641" t="n"/>
      <c r="AK17" s="642" t="n"/>
      <c r="AL17" s="645" t="n"/>
      <c r="AM17" s="527" t="n"/>
      <c r="AN17" s="527" t="n"/>
      <c r="AO17" s="527" t="n"/>
      <c r="AP17" s="527" t="n"/>
      <c r="AQ17" s="527" t="n"/>
      <c r="AR17" s="527" t="n"/>
      <c r="AS17" s="527" t="n"/>
      <c r="AT17" s="527" t="n"/>
      <c r="AU17" s="527" t="n"/>
      <c r="AV17" s="527" t="n"/>
      <c r="AW17" s="527" t="n"/>
      <c r="AX17" s="527" t="n"/>
      <c r="AY17" s="527" t="n"/>
      <c r="AZ17" s="527" t="n"/>
      <c r="BA17" s="527" t="n"/>
      <c r="BB17" s="527" t="n"/>
      <c r="BC17" s="527" t="n"/>
      <c r="BD17" s="527" t="n"/>
      <c r="BE17" s="527" t="n"/>
      <c r="BF17" s="527" t="n"/>
      <c r="BG17" s="527" t="n"/>
      <c r="BH17" s="527" t="n"/>
      <c r="BI17" s="527" t="n"/>
      <c r="BJ17" s="527" t="n"/>
      <c r="BK17" s="527" t="n"/>
      <c r="BL17" s="527" t="n"/>
      <c r="BM17" s="527" t="n"/>
      <c r="BN17" s="527" t="n"/>
      <c r="BO17" s="527" t="n"/>
      <c r="BP17" s="527" t="n"/>
      <c r="BQ17" s="640" t="n"/>
      <c r="BR17" s="641" t="n"/>
      <c r="BS17" s="642" t="n"/>
      <c r="BT17" s="645" t="n"/>
      <c r="BU17" s="527" t="n"/>
      <c r="BV17" s="527" t="n"/>
      <c r="BW17" s="527" t="n"/>
      <c r="BX17" s="527" t="n"/>
      <c r="BY17" s="527" t="n"/>
      <c r="BZ17" s="527" t="n"/>
      <c r="CA17" s="527" t="n"/>
      <c r="CB17" s="527" t="n"/>
      <c r="CC17" s="527" t="n"/>
      <c r="CD17" s="527" t="n"/>
      <c r="CE17" s="527" t="n"/>
      <c r="CF17" s="527" t="n"/>
      <c r="CG17" s="527" t="n"/>
      <c r="CH17" s="527" t="n"/>
      <c r="CI17" s="527" t="n"/>
      <c r="CJ17" s="527" t="n"/>
      <c r="CK17" s="527" t="n"/>
      <c r="CL17" s="527" t="n"/>
      <c r="CM17" s="527" t="n"/>
      <c r="CN17" s="527" t="n"/>
      <c r="CO17" s="527" t="n"/>
      <c r="CP17" s="527" t="n"/>
      <c r="CQ17" s="527" t="n"/>
      <c r="CR17" s="527" t="n"/>
      <c r="CS17" s="527" t="n"/>
      <c r="CT17" s="527" t="n"/>
      <c r="CU17" s="527" t="n"/>
      <c r="CV17" s="527" t="n"/>
      <c r="CW17" s="527" t="n"/>
      <c r="CX17" s="527" t="n"/>
      <c r="CY17" s="640" t="n"/>
      <c r="CZ17" s="641" t="n"/>
      <c r="DA17" s="642" t="n"/>
      <c r="DB17" s="645" t="n"/>
      <c r="DC17" s="527" t="n"/>
      <c r="DD17" s="527" t="n"/>
      <c r="DE17" s="527" t="n"/>
      <c r="DF17" s="527" t="n"/>
      <c r="DG17" s="527" t="n"/>
      <c r="DH17" s="527" t="n"/>
      <c r="DI17" s="527" t="n"/>
      <c r="DJ17" s="527" t="n"/>
      <c r="DK17" s="527" t="n"/>
      <c r="DL17" s="527" t="n"/>
      <c r="DM17" s="527" t="n"/>
      <c r="DN17" s="527" t="n"/>
      <c r="DO17" s="527" t="n"/>
      <c r="DP17" s="527" t="n"/>
      <c r="DQ17" s="527" t="n"/>
      <c r="DR17" s="527" t="n"/>
      <c r="DS17" s="527" t="n"/>
      <c r="DT17" s="527" t="n"/>
      <c r="DU17" s="527" t="n"/>
      <c r="DV17" s="527" t="n"/>
      <c r="DW17" s="527" t="n"/>
      <c r="DX17" s="527" t="n"/>
      <c r="DY17" s="527" t="n"/>
      <c r="DZ17" s="527" t="n"/>
      <c r="EA17" s="527" t="n"/>
      <c r="EB17" s="527" t="n"/>
      <c r="EC17" s="527" t="n"/>
      <c r="ED17" s="527" t="n"/>
      <c r="EE17" s="527" t="n"/>
      <c r="EF17" s="527" t="n"/>
      <c r="EG17" s="640" t="n"/>
      <c r="EH17" s="641" t="n"/>
      <c r="EI17" s="642" t="n"/>
      <c r="EJ17" s="645" t="n"/>
      <c r="EK17" s="527" t="n"/>
      <c r="EL17" s="527" t="n"/>
      <c r="EM17" s="527" t="n"/>
      <c r="EN17" s="527" t="n"/>
      <c r="EO17" s="527" t="n"/>
      <c r="EP17" s="527" t="n"/>
      <c r="EQ17" s="527" t="n"/>
      <c r="ER17" s="527" t="n"/>
      <c r="ES17" s="527" t="n"/>
      <c r="ET17" s="527" t="n"/>
      <c r="EU17" s="527" t="n"/>
      <c r="EV17" s="527" t="n"/>
      <c r="EW17" s="527" t="n"/>
      <c r="EX17" s="527" t="n"/>
      <c r="EY17" s="527" t="n"/>
      <c r="EZ17" s="527" t="n"/>
      <c r="FA17" s="527" t="n"/>
      <c r="FB17" s="527" t="n"/>
      <c r="FC17" s="527" t="n"/>
      <c r="FD17" s="527" t="n"/>
      <c r="FE17" s="527" t="n"/>
      <c r="FF17" s="527" t="n"/>
      <c r="FG17" s="527" t="n"/>
      <c r="FH17" s="527" t="n"/>
      <c r="FI17" s="527" t="n"/>
      <c r="FJ17" s="527" t="n"/>
      <c r="FK17" s="527" t="n"/>
      <c r="FL17" s="527" t="n"/>
      <c r="FM17" s="527" t="n"/>
      <c r="FN17" s="527" t="n"/>
      <c r="FO17" s="640" t="n"/>
      <c r="FP17" s="641" t="n"/>
      <c r="FQ17" s="642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tabColor rgb="0063D9B6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  <col width="3.3" customWidth="1" min="174" max="174"/>
    <col width="3.3" customWidth="1" min="175" max="175"/>
    <col width="3.3" customWidth="1" min="176" max="176"/>
    <col width="3.3" customWidth="1" min="177" max="177"/>
    <col width="3.3" customWidth="1" min="178" max="178"/>
    <col width="3.3" customWidth="1" min="179" max="179"/>
    <col width="3.3" customWidth="1" min="180" max="180"/>
    <col width="3.3" customWidth="1" min="181" max="181"/>
    <col width="3.3" customWidth="1" min="182" max="182"/>
    <col width="3.3" customWidth="1" min="183" max="183"/>
    <col width="3.3" customWidth="1" min="184" max="184"/>
    <col width="3.3" customWidth="1" min="185" max="185"/>
    <col width="3.3" customWidth="1" min="186" max="186"/>
    <col width="3.3" customWidth="1" min="187" max="187"/>
    <col width="3.3" customWidth="1" min="188" max="188"/>
    <col width="3.3" customWidth="1" min="189" max="189"/>
    <col width="3.3" customWidth="1" min="190" max="190"/>
    <col width="3.3" customWidth="1" min="191" max="191"/>
    <col width="3.3" customWidth="1" min="192" max="192"/>
    <col width="3.3" customWidth="1" min="193" max="193"/>
    <col width="3.3" customWidth="1" min="194" max="194"/>
    <col width="3.3" customWidth="1" min="195" max="195"/>
    <col width="3.3" customWidth="1" min="196" max="196"/>
    <col width="3.3" customWidth="1" min="197" max="197"/>
    <col width="3.3" customWidth="1" min="198" max="198"/>
    <col width="3.3" customWidth="1" min="199" max="199"/>
    <col width="3.3" customWidth="1" min="200" max="200"/>
    <col width="3.3" customWidth="1" min="201" max="201"/>
    <col width="3.3" customWidth="1" min="202" max="202"/>
    <col width="3.3" customWidth="1" min="203" max="203"/>
    <col width="3.3" customWidth="1" min="204" max="204"/>
    <col width="6.2" customWidth="1" min="205" max="205"/>
    <col width="6.2" customWidth="1" min="206" max="206"/>
    <col width="6.2" customWidth="1" min="207" max="207"/>
  </cols>
  <sheetData>
    <row r="1" ht="48" customHeight="1">
      <c r="A1" s="646" t="inlineStr">
        <is>
          <t>🏠</t>
        </is>
      </c>
      <c r="B1" s="647" t="n"/>
      <c r="C1" s="647" t="n"/>
      <c r="D1" s="647" t="n"/>
      <c r="E1" s="647" t="n"/>
      <c r="F1" s="647" t="n"/>
      <c r="G1" s="647" t="n"/>
      <c r="H1" s="647" t="n"/>
      <c r="I1" s="647" t="n"/>
      <c r="J1" s="647" t="n"/>
      <c r="K1" s="647" t="n"/>
      <c r="L1" s="647" t="n"/>
      <c r="M1" s="647" t="n"/>
      <c r="N1" s="647" t="n"/>
      <c r="O1" s="647" t="n"/>
      <c r="P1" s="647" t="n"/>
      <c r="Q1" s="647" t="n"/>
      <c r="R1" s="647" t="n"/>
      <c r="S1" s="647" t="n"/>
      <c r="T1" s="647" t="n"/>
      <c r="U1" s="647" t="n"/>
      <c r="V1" s="647" t="n"/>
      <c r="W1" s="647" t="n"/>
      <c r="X1" s="647" t="n"/>
      <c r="Y1" s="647" t="n"/>
      <c r="Z1" s="647" t="n"/>
      <c r="AA1" s="647" t="n"/>
      <c r="AB1" s="647" t="n"/>
      <c r="AC1" s="647" t="n"/>
      <c r="AD1" s="647" t="n"/>
      <c r="AE1" s="647" t="n"/>
      <c r="AF1" s="647" t="n"/>
      <c r="AG1" s="647" t="n"/>
      <c r="AH1" s="647" t="n"/>
      <c r="AI1" s="647" t="n"/>
      <c r="AJ1" s="647" t="n"/>
      <c r="AK1" s="647" t="n"/>
      <c r="AL1" s="647" t="n"/>
      <c r="AM1" s="647" t="n"/>
      <c r="AN1" s="647" t="n"/>
      <c r="AO1" s="647" t="n"/>
      <c r="AP1" s="647" t="n"/>
      <c r="AQ1" s="647" t="n"/>
      <c r="AR1" s="647" t="n"/>
      <c r="AS1" s="647" t="n"/>
      <c r="AT1" s="647" t="n"/>
      <c r="AU1" s="647" t="n"/>
      <c r="AV1" s="647" t="n"/>
      <c r="AW1" s="647" t="n"/>
      <c r="AX1" s="647" t="n"/>
      <c r="AY1" s="647" t="n"/>
      <c r="AZ1" s="647" t="n"/>
      <c r="BA1" s="647" t="n"/>
      <c r="BB1" s="647" t="n"/>
      <c r="BC1" s="647" t="n"/>
      <c r="BD1" s="647" t="n"/>
      <c r="BE1" s="647" t="n"/>
      <c r="BF1" s="647" t="n"/>
      <c r="BG1" s="647" t="n"/>
      <c r="BH1" s="647" t="n"/>
      <c r="BI1" s="647" t="n"/>
      <c r="BJ1" s="647" t="n"/>
      <c r="BK1" s="647" t="n"/>
      <c r="BL1" s="647" t="n"/>
      <c r="BM1" s="647" t="n"/>
      <c r="BN1" s="647" t="n"/>
      <c r="BO1" s="647" t="n"/>
      <c r="BP1" s="647" t="n"/>
      <c r="BQ1" s="647" t="n"/>
      <c r="BR1" s="647" t="n"/>
      <c r="BS1" s="647" t="n"/>
      <c r="BT1" s="647" t="n"/>
      <c r="BU1" s="647" t="n"/>
      <c r="BV1" s="647" t="n"/>
      <c r="BW1" s="647" t="n"/>
      <c r="BX1" s="647" t="n"/>
      <c r="BY1" s="647" t="n"/>
      <c r="BZ1" s="647" t="n"/>
      <c r="CA1" s="647" t="n"/>
      <c r="CB1" s="647" t="n"/>
      <c r="CC1" s="647" t="n"/>
      <c r="CD1" s="647" t="n"/>
      <c r="CE1" s="647" t="n"/>
      <c r="CF1" s="647" t="n"/>
      <c r="CG1" s="647" t="n"/>
      <c r="CH1" s="647" t="n"/>
      <c r="CI1" s="647" t="n"/>
      <c r="CJ1" s="647" t="n"/>
      <c r="CK1" s="647" t="n"/>
      <c r="CL1" s="647" t="n"/>
      <c r="CM1" s="647" t="n"/>
      <c r="CN1" s="647" t="n"/>
      <c r="CO1" s="647" t="n"/>
      <c r="CP1" s="647" t="n"/>
      <c r="CQ1" s="647" t="n"/>
      <c r="CR1" s="647" t="n"/>
      <c r="CS1" s="647" t="n"/>
      <c r="CT1" s="647" t="n"/>
      <c r="CU1" s="647" t="n"/>
      <c r="CV1" s="647" t="n"/>
      <c r="CW1" s="647" t="n"/>
      <c r="CX1" s="647" t="n"/>
      <c r="CY1" s="647" t="n"/>
      <c r="CZ1" s="647" t="n"/>
      <c r="DA1" s="647" t="n"/>
      <c r="DB1" s="647" t="n"/>
      <c r="DC1" s="647" t="n"/>
      <c r="DD1" s="647" t="n"/>
      <c r="DE1" s="647" t="n"/>
      <c r="DF1" s="647" t="n"/>
      <c r="DG1" s="647" t="n"/>
      <c r="DH1" s="647" t="n"/>
      <c r="DI1" s="647" t="n"/>
      <c r="DJ1" s="647" t="n"/>
      <c r="DK1" s="647" t="n"/>
      <c r="DL1" s="647" t="n"/>
      <c r="DM1" s="647" t="n"/>
      <c r="DN1" s="647" t="n"/>
      <c r="DO1" s="647" t="n"/>
      <c r="DP1" s="647" t="n"/>
      <c r="DQ1" s="647" t="n"/>
      <c r="DR1" s="647" t="n"/>
      <c r="DS1" s="647" t="n"/>
      <c r="DT1" s="647" t="n"/>
      <c r="DU1" s="647" t="n"/>
      <c r="DV1" s="647" t="n"/>
      <c r="DW1" s="647" t="n"/>
      <c r="DX1" s="647" t="n"/>
      <c r="DY1" s="647" t="n"/>
      <c r="DZ1" s="647" t="n"/>
      <c r="EA1" s="647" t="n"/>
      <c r="EB1" s="647" t="n"/>
      <c r="EC1" s="647" t="n"/>
      <c r="ED1" s="647" t="n"/>
      <c r="EE1" s="647" t="n"/>
      <c r="EF1" s="647" t="n"/>
      <c r="EG1" s="647" t="n"/>
      <c r="EH1" s="647" t="n"/>
      <c r="EI1" s="647" t="n"/>
      <c r="EJ1" s="647" t="n"/>
      <c r="EK1" s="647" t="n"/>
      <c r="EL1" s="647" t="n"/>
      <c r="EM1" s="647" t="n"/>
      <c r="EN1" s="647" t="n"/>
      <c r="EO1" s="647" t="n"/>
      <c r="EP1" s="647" t="n"/>
      <c r="EQ1" s="647" t="n"/>
      <c r="ER1" s="647" t="n"/>
      <c r="ES1" s="647" t="n"/>
      <c r="ET1" s="647" t="n"/>
      <c r="EU1" s="647" t="n"/>
      <c r="EV1" s="647" t="n"/>
      <c r="EW1" s="647" t="n"/>
      <c r="EX1" s="647" t="n"/>
      <c r="EY1" s="647" t="n"/>
      <c r="EZ1" s="647" t="n"/>
      <c r="FA1" s="647" t="n"/>
      <c r="FB1" s="647" t="n"/>
      <c r="FC1" s="647" t="n"/>
      <c r="FD1" s="647" t="n"/>
      <c r="FE1" s="647" t="n"/>
      <c r="FF1" s="647" t="n"/>
      <c r="FG1" s="647" t="n"/>
      <c r="FH1" s="647" t="n"/>
      <c r="FI1" s="647" t="n"/>
      <c r="FJ1" s="647" t="n"/>
      <c r="FK1" s="647" t="n"/>
      <c r="FL1" s="647" t="n"/>
      <c r="FM1" s="647" t="n"/>
      <c r="FN1" s="647" t="n"/>
      <c r="FO1" s="647" t="n"/>
      <c r="FP1" s="647" t="n"/>
      <c r="FQ1" s="647" t="n"/>
      <c r="FR1" s="647" t="n"/>
      <c r="FS1" s="647" t="n"/>
      <c r="FT1" s="647" t="n"/>
      <c r="FU1" s="647" t="n"/>
      <c r="FV1" s="647" t="n"/>
      <c r="FW1" s="647" t="n"/>
      <c r="FX1" s="647" t="n"/>
      <c r="FY1" s="647" t="n"/>
      <c r="FZ1" s="647" t="n"/>
      <c r="GA1" s="647" t="n"/>
      <c r="GB1" s="647" t="n"/>
      <c r="GC1" s="647" t="n"/>
      <c r="GD1" s="647" t="n"/>
      <c r="GE1" s="647" t="n"/>
      <c r="GF1" s="647" t="n"/>
      <c r="GG1" s="647" t="n"/>
      <c r="GH1" s="647" t="n"/>
      <c r="GI1" s="647" t="n"/>
      <c r="GJ1" s="647" t="n"/>
      <c r="GK1" s="647" t="n"/>
      <c r="GL1" s="647" t="n"/>
      <c r="GM1" s="647" t="n"/>
      <c r="GN1" s="647" t="n"/>
      <c r="GO1" s="647" t="n"/>
      <c r="GP1" s="647" t="n"/>
      <c r="GQ1" s="647" t="n"/>
      <c r="GR1" s="647" t="n"/>
      <c r="GS1" s="647" t="n"/>
      <c r="GT1" s="647" t="n"/>
      <c r="GU1" s="647" t="n"/>
      <c r="GV1" s="647" t="n"/>
      <c r="GW1" s="647" t="n"/>
      <c r="GX1" s="647" t="n"/>
      <c r="GY1" s="647" t="n"/>
    </row>
    <row r="2" ht="20" customHeight="1">
      <c r="A2" s="648" t="inlineStr">
        <is>
          <t>หน้าหลัก</t>
        </is>
      </c>
      <c r="B2" s="64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50" t="n"/>
      <c r="D2" s="650" t="n"/>
      <c r="E2" s="650" t="n"/>
      <c r="F2" s="650" t="n"/>
      <c r="G2" s="650" t="n"/>
      <c r="H2" s="650" t="n"/>
      <c r="I2" s="650" t="n"/>
      <c r="J2" s="650" t="n"/>
      <c r="K2" s="650" t="n"/>
      <c r="L2" s="650" t="n"/>
      <c r="M2" s="650" t="n"/>
      <c r="N2" s="650" t="n"/>
      <c r="O2" s="650" t="n"/>
      <c r="P2" s="650" t="n"/>
      <c r="Q2" s="650" t="n"/>
      <c r="R2" s="650" t="n"/>
      <c r="S2" s="650" t="n"/>
      <c r="T2" s="650" t="n"/>
      <c r="U2" s="650" t="n"/>
      <c r="V2" s="650" t="n"/>
      <c r="W2" s="650" t="n"/>
      <c r="X2" s="650" t="n"/>
      <c r="Y2" s="650" t="n"/>
      <c r="Z2" s="650" t="n"/>
      <c r="AA2" s="650" t="n"/>
      <c r="AB2" s="650" t="n"/>
      <c r="AC2" s="650" t="n"/>
      <c r="AD2" s="650" t="n"/>
      <c r="AE2" s="650" t="n"/>
      <c r="AF2" s="650" t="n"/>
      <c r="AG2" s="650" t="n"/>
      <c r="AH2" s="650" t="n"/>
      <c r="AI2" s="650" t="n"/>
      <c r="AJ2" s="650" t="n"/>
      <c r="AK2" s="650" t="n"/>
      <c r="AL2" s="650" t="n"/>
      <c r="AM2" s="650" t="n"/>
      <c r="AN2" s="650" t="n"/>
      <c r="AO2" s="650" t="n"/>
      <c r="AP2" s="650" t="n"/>
      <c r="AQ2" s="650" t="n"/>
      <c r="AR2" s="650" t="n"/>
      <c r="AS2" s="650" t="n"/>
      <c r="AT2" s="650" t="n"/>
      <c r="AU2" s="650" t="n"/>
      <c r="AV2" s="650" t="n"/>
      <c r="AW2" s="650" t="n"/>
      <c r="AX2" s="650" t="n"/>
      <c r="AY2" s="650" t="n"/>
      <c r="AZ2" s="650" t="n"/>
      <c r="BA2" s="650" t="n"/>
      <c r="BB2" s="650" t="n"/>
      <c r="BC2" s="650" t="n"/>
      <c r="BD2" s="650" t="n"/>
      <c r="BE2" s="650" t="n"/>
      <c r="BF2" s="650" t="n"/>
      <c r="BG2" s="650" t="n"/>
      <c r="BH2" s="650" t="n"/>
      <c r="BI2" s="650" t="n"/>
      <c r="BJ2" s="650" t="n"/>
      <c r="BK2" s="650" t="n"/>
      <c r="BL2" s="650" t="n"/>
      <c r="BM2" s="650" t="n"/>
      <c r="BN2" s="650" t="n"/>
      <c r="BO2" s="650" t="n"/>
      <c r="BP2" s="650" t="n"/>
      <c r="BQ2" s="650" t="n"/>
      <c r="BR2" s="650" t="n"/>
      <c r="BS2" s="650" t="n"/>
      <c r="BT2" s="650" t="n"/>
      <c r="BU2" s="650" t="n"/>
      <c r="BV2" s="650" t="n"/>
      <c r="BW2" s="650" t="n"/>
      <c r="BX2" s="650" t="n"/>
      <c r="BY2" s="650" t="n"/>
      <c r="BZ2" s="650" t="n"/>
      <c r="CA2" s="650" t="n"/>
      <c r="CB2" s="650" t="n"/>
      <c r="CC2" s="650" t="n"/>
      <c r="CD2" s="650" t="n"/>
      <c r="CE2" s="650" t="n"/>
      <c r="CF2" s="650" t="n"/>
      <c r="CG2" s="650" t="n"/>
      <c r="CH2" s="650" t="n"/>
      <c r="CI2" s="650" t="n"/>
      <c r="CJ2" s="650" t="n"/>
      <c r="CK2" s="650" t="n"/>
      <c r="CL2" s="650" t="n"/>
      <c r="CM2" s="650" t="n"/>
      <c r="CN2" s="650" t="n"/>
      <c r="CO2" s="650" t="n"/>
      <c r="CP2" s="650" t="n"/>
      <c r="CQ2" s="650" t="n"/>
      <c r="CR2" s="650" t="n"/>
      <c r="CS2" s="650" t="n"/>
      <c r="CT2" s="650" t="n"/>
      <c r="CU2" s="650" t="n"/>
      <c r="CV2" s="650" t="n"/>
      <c r="CW2" s="650" t="n"/>
      <c r="CX2" s="650" t="n"/>
      <c r="CY2" s="650" t="n"/>
      <c r="CZ2" s="650" t="n"/>
      <c r="DA2" s="650" t="n"/>
      <c r="DB2" s="650" t="n"/>
      <c r="DC2" s="650" t="n"/>
      <c r="DD2" s="650" t="n"/>
      <c r="DE2" s="650" t="n"/>
      <c r="DF2" s="650" t="n"/>
      <c r="DG2" s="650" t="n"/>
      <c r="DH2" s="650" t="n"/>
      <c r="DI2" s="650" t="n"/>
      <c r="DJ2" s="650" t="n"/>
      <c r="DK2" s="650" t="n"/>
      <c r="DL2" s="650" t="n"/>
      <c r="DM2" s="650" t="n"/>
      <c r="DN2" s="650" t="n"/>
      <c r="DO2" s="650" t="n"/>
      <c r="DP2" s="650" t="n"/>
      <c r="DQ2" s="650" t="n"/>
      <c r="DR2" s="650" t="n"/>
      <c r="DS2" s="650" t="n"/>
      <c r="DT2" s="650" t="n"/>
      <c r="DU2" s="650" t="n"/>
      <c r="DV2" s="650" t="n"/>
      <c r="DW2" s="650" t="n"/>
      <c r="DX2" s="650" t="n"/>
      <c r="DY2" s="650" t="n"/>
      <c r="DZ2" s="650" t="n"/>
      <c r="EA2" s="650" t="n"/>
      <c r="EB2" s="650" t="n"/>
      <c r="EC2" s="650" t="n"/>
      <c r="ED2" s="650" t="n"/>
      <c r="EE2" s="650" t="n"/>
      <c r="EF2" s="650" t="n"/>
      <c r="EG2" s="650" t="n"/>
      <c r="EH2" s="650" t="n"/>
      <c r="EI2" s="650" t="n"/>
      <c r="EJ2" s="650" t="n"/>
      <c r="EK2" s="650" t="n"/>
      <c r="EL2" s="650" t="n"/>
      <c r="EM2" s="650" t="n"/>
      <c r="EN2" s="650" t="n"/>
      <c r="EO2" s="650" t="n"/>
      <c r="EP2" s="650" t="n"/>
      <c r="EQ2" s="650" t="n"/>
      <c r="ER2" s="650" t="n"/>
      <c r="ES2" s="650" t="n"/>
      <c r="ET2" s="650" t="n"/>
      <c r="EU2" s="650" t="n"/>
      <c r="EV2" s="650" t="n"/>
      <c r="EW2" s="650" t="n"/>
      <c r="EX2" s="650" t="n"/>
      <c r="EY2" s="650" t="n"/>
      <c r="EZ2" s="650" t="n"/>
      <c r="FA2" s="650" t="n"/>
      <c r="FB2" s="650" t="n"/>
      <c r="FC2" s="650" t="n"/>
      <c r="FD2" s="650" t="n"/>
      <c r="FE2" s="650" t="n"/>
      <c r="FF2" s="650" t="n"/>
      <c r="FG2" s="650" t="n"/>
      <c r="FH2" s="650" t="n"/>
      <c r="FI2" s="650" t="n"/>
      <c r="FJ2" s="650" t="n"/>
      <c r="FK2" s="650" t="n"/>
      <c r="FL2" s="650" t="n"/>
      <c r="FM2" s="650" t="n"/>
      <c r="FN2" s="650" t="n"/>
      <c r="FO2" s="650" t="n"/>
      <c r="FP2" s="650" t="n"/>
      <c r="FQ2" s="650" t="n"/>
      <c r="FR2" s="650" t="n"/>
      <c r="FS2" s="650" t="n"/>
      <c r="FT2" s="650" t="n"/>
      <c r="FU2" s="650" t="n"/>
      <c r="FV2" s="650" t="n"/>
      <c r="FW2" s="650" t="n"/>
      <c r="FX2" s="650" t="n"/>
      <c r="FY2" s="650" t="n"/>
      <c r="FZ2" s="650" t="n"/>
      <c r="GA2" s="650" t="n"/>
      <c r="GB2" s="650" t="n"/>
      <c r="GC2" s="650" t="n"/>
      <c r="GD2" s="650" t="n"/>
      <c r="GE2" s="650" t="n"/>
      <c r="GF2" s="650" t="n"/>
      <c r="GG2" s="650" t="n"/>
      <c r="GH2" s="650" t="n"/>
      <c r="GI2" s="650" t="n"/>
      <c r="GJ2" s="650" t="n"/>
      <c r="GK2" s="650" t="n"/>
      <c r="GL2" s="650" t="n"/>
      <c r="GM2" s="650" t="n"/>
      <c r="GN2" s="650" t="n"/>
      <c r="GO2" s="650" t="n"/>
      <c r="GP2" s="650" t="n"/>
      <c r="GQ2" s="650" t="n"/>
      <c r="GR2" s="650" t="n"/>
      <c r="GS2" s="650" t="n"/>
      <c r="GT2" s="650" t="n"/>
      <c r="GU2" s="650" t="n"/>
      <c r="GV2" s="650" t="n"/>
      <c r="GW2" s="650" t="n"/>
      <c r="GX2" s="650" t="n"/>
      <c r="GY2" s="650" t="n"/>
    </row>
    <row r="3" ht="18" customHeight="1">
      <c r="B3" s="651" t="inlineStr">
        <is>
          <t>✓ = ทำเวร     ✗ = ไม่ทำ      •   ช่องสีเขียวอ่อน = วันเวรของนักเรียน (กำหนดในคอลัมน์ C)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652" t="inlineStr">
        <is>
          <t>เลขที่</t>
        </is>
      </c>
      <c r="B5" s="652" t="inlineStr">
        <is>
          <t>ชื่อ - สกุล</t>
        </is>
      </c>
      <c r="C5" s="653" t="inlineStr">
        <is>
          <t>เวร
ประจำ
วัน</t>
        </is>
      </c>
      <c r="D5" s="654">
        <f>"เดือนพฤษภาคม  พ.ศ. "&amp;('ข้อมูลโรงเรียน'!$C$12-543+543)</f>
        <v/>
      </c>
      <c r="AI5" s="655" t="inlineStr">
        <is>
          <t>สรุป พ.ค.</t>
        </is>
      </c>
      <c r="AL5" s="654">
        <f>"เดือนมิถุนายน  พ.ศ. "&amp;('ข้อมูลโรงเรียน'!$C$12-543+543)</f>
        <v/>
      </c>
      <c r="BQ5" s="655" t="inlineStr">
        <is>
          <t>สรุป มิ.ย.</t>
        </is>
      </c>
      <c r="BT5" s="654">
        <f>"เดือนกรกฎาคม  พ.ศ. "&amp;('ข้อมูลโรงเรียน'!$C$12-543+543)</f>
        <v/>
      </c>
      <c r="CY5" s="655" t="inlineStr">
        <is>
          <t>สรุป ก.ค.</t>
        </is>
      </c>
      <c r="DB5" s="654">
        <f>"เดือนสิงหาคม  พ.ศ. "&amp;('ข้อมูลโรงเรียน'!$C$12-543+543)</f>
        <v/>
      </c>
      <c r="EG5" s="655" t="inlineStr">
        <is>
          <t>สรุป ส.ค.</t>
        </is>
      </c>
      <c r="EJ5" s="654">
        <f>"เดือนกันยายน  พ.ศ. "&amp;('ข้อมูลโรงเรียน'!$C$12-543+543)</f>
        <v/>
      </c>
      <c r="FO5" s="655" t="inlineStr">
        <is>
          <t>สรุป ก.ย.</t>
        </is>
      </c>
      <c r="FR5" s="654">
        <f>"เดือนตุลาคม  พ.ศ. "&amp;('ข้อมูลโรงเรียน'!$C$12-543+543)</f>
        <v/>
      </c>
      <c r="GW5" s="655" t="inlineStr">
        <is>
          <t>สรุป ต.ค.</t>
        </is>
      </c>
    </row>
    <row r="6">
      <c r="D6" s="656">
        <f>IF('ปฏิทิน'!D1="","",DAY('ปฏิทิน'!D1))</f>
        <v/>
      </c>
      <c r="E6" s="653">
        <f>IF('ปฏิทิน'!E1="","",DAY('ปฏิทิน'!E1))</f>
        <v/>
      </c>
      <c r="F6" s="653">
        <f>IF('ปฏิทิน'!F1="","",DAY('ปฏิทิน'!F1))</f>
        <v/>
      </c>
      <c r="G6" s="653">
        <f>IF('ปฏิทิน'!G1="","",DAY('ปฏิทิน'!G1))</f>
        <v/>
      </c>
      <c r="H6" s="653">
        <f>IF('ปฏิทิน'!H1="","",DAY('ปฏิทิน'!H1))</f>
        <v/>
      </c>
      <c r="I6" s="653">
        <f>IF('ปฏิทิน'!I1="","",DAY('ปฏิทิน'!I1))</f>
        <v/>
      </c>
      <c r="J6" s="653">
        <f>IF('ปฏิทิน'!J1="","",DAY('ปฏิทิน'!J1))</f>
        <v/>
      </c>
      <c r="K6" s="653">
        <f>IF('ปฏิทิน'!K1="","",DAY('ปฏิทิน'!K1))</f>
        <v/>
      </c>
      <c r="L6" s="653">
        <f>IF('ปฏิทิน'!L1="","",DAY('ปฏิทิน'!L1))</f>
        <v/>
      </c>
      <c r="M6" s="653">
        <f>IF('ปฏิทิน'!M1="","",DAY('ปฏิทิน'!M1))</f>
        <v/>
      </c>
      <c r="N6" s="653">
        <f>IF('ปฏิทิน'!N1="","",DAY('ปฏิทิน'!N1))</f>
        <v/>
      </c>
      <c r="O6" s="653">
        <f>IF('ปฏิทิน'!O1="","",DAY('ปฏิทิน'!O1))</f>
        <v/>
      </c>
      <c r="P6" s="653">
        <f>IF('ปฏิทิน'!P1="","",DAY('ปฏิทิน'!P1))</f>
        <v/>
      </c>
      <c r="Q6" s="653">
        <f>IF('ปฏิทิน'!Q1="","",DAY('ปฏิทิน'!Q1))</f>
        <v/>
      </c>
      <c r="R6" s="653">
        <f>IF('ปฏิทิน'!R1="","",DAY('ปฏิทิน'!R1))</f>
        <v/>
      </c>
      <c r="S6" s="653">
        <f>IF('ปฏิทิน'!S1="","",DAY('ปฏิทิน'!S1))</f>
        <v/>
      </c>
      <c r="T6" s="653">
        <f>IF('ปฏิทิน'!T1="","",DAY('ปฏิทิน'!T1))</f>
        <v/>
      </c>
      <c r="U6" s="653">
        <f>IF('ปฏิทิน'!U1="","",DAY('ปฏิทิน'!U1))</f>
        <v/>
      </c>
      <c r="V6" s="653">
        <f>IF('ปฏิทิน'!V1="","",DAY('ปฏิทิน'!V1))</f>
        <v/>
      </c>
      <c r="W6" s="653">
        <f>IF('ปฏิทิน'!W1="","",DAY('ปฏิทิน'!W1))</f>
        <v/>
      </c>
      <c r="X6" s="653">
        <f>IF('ปฏิทิน'!X1="","",DAY('ปฏิทิน'!X1))</f>
        <v/>
      </c>
      <c r="Y6" s="653">
        <f>IF('ปฏิทิน'!Y1="","",DAY('ปฏิทิน'!Y1))</f>
        <v/>
      </c>
      <c r="Z6" s="653">
        <f>IF('ปฏิทิน'!Z1="","",DAY('ปฏิทิน'!Z1))</f>
        <v/>
      </c>
      <c r="AA6" s="653">
        <f>IF('ปฏิทิน'!AA1="","",DAY('ปฏิทิน'!AA1))</f>
        <v/>
      </c>
      <c r="AB6" s="653">
        <f>IF('ปฏิทิน'!AB1="","",DAY('ปฏิทิน'!AB1))</f>
        <v/>
      </c>
      <c r="AC6" s="653">
        <f>IF('ปฏิทิน'!AC1="","",DAY('ปฏิทิน'!AC1))</f>
        <v/>
      </c>
      <c r="AD6" s="653">
        <f>IF('ปฏิทิน'!AD1="","",DAY('ปฏิทิน'!AD1))</f>
        <v/>
      </c>
      <c r="AE6" s="653">
        <f>IF('ปฏิทิน'!AE1="","",DAY('ปฏิทิน'!AE1))</f>
        <v/>
      </c>
      <c r="AF6" s="653">
        <f>IF('ปฏิทิน'!AF1="","",DAY('ปฏิทิน'!AF1))</f>
        <v/>
      </c>
      <c r="AG6" s="653">
        <f>IF('ปฏิทิน'!AG1="","",DAY('ปฏิทิน'!AG1))</f>
        <v/>
      </c>
      <c r="AH6" s="653">
        <f>IF('ปฏิทิน'!AH1="","",DAY('ปฏิทิน'!AH1))</f>
        <v/>
      </c>
      <c r="AI6" s="657" t="inlineStr">
        <is>
          <t>ทำ</t>
        </is>
      </c>
      <c r="AJ6" s="658" t="inlineStr">
        <is>
          <t>ไม่
ทำ</t>
        </is>
      </c>
      <c r="AK6" s="659" t="inlineStr">
        <is>
          <t>ร้อยละ</t>
        </is>
      </c>
      <c r="AL6" s="656">
        <f>IF('ปฏิทิน'!AL1="","",DAY('ปฏิทิน'!AL1))</f>
        <v/>
      </c>
      <c r="AM6" s="653">
        <f>IF('ปฏิทิน'!AM1="","",DAY('ปฏิทิน'!AM1))</f>
        <v/>
      </c>
      <c r="AN6" s="653">
        <f>IF('ปฏิทิน'!AN1="","",DAY('ปฏิทิน'!AN1))</f>
        <v/>
      </c>
      <c r="AO6" s="653">
        <f>IF('ปฏิทิน'!AO1="","",DAY('ปฏิทิน'!AO1))</f>
        <v/>
      </c>
      <c r="AP6" s="653">
        <f>IF('ปฏิทิน'!AP1="","",DAY('ปฏิทิน'!AP1))</f>
        <v/>
      </c>
      <c r="AQ6" s="653">
        <f>IF('ปฏิทิน'!AQ1="","",DAY('ปฏิทิน'!AQ1))</f>
        <v/>
      </c>
      <c r="AR6" s="653">
        <f>IF('ปฏิทิน'!AR1="","",DAY('ปฏิทิน'!AR1))</f>
        <v/>
      </c>
      <c r="AS6" s="653">
        <f>IF('ปฏิทิน'!AS1="","",DAY('ปฏิทิน'!AS1))</f>
        <v/>
      </c>
      <c r="AT6" s="653">
        <f>IF('ปฏิทิน'!AT1="","",DAY('ปฏิทิน'!AT1))</f>
        <v/>
      </c>
      <c r="AU6" s="653">
        <f>IF('ปฏิทิน'!AU1="","",DAY('ปฏิทิน'!AU1))</f>
        <v/>
      </c>
      <c r="AV6" s="653">
        <f>IF('ปฏิทิน'!AV1="","",DAY('ปฏิทิน'!AV1))</f>
        <v/>
      </c>
      <c r="AW6" s="653">
        <f>IF('ปฏิทิน'!AW1="","",DAY('ปฏิทิน'!AW1))</f>
        <v/>
      </c>
      <c r="AX6" s="653">
        <f>IF('ปฏิทิน'!AX1="","",DAY('ปฏิทิน'!AX1))</f>
        <v/>
      </c>
      <c r="AY6" s="653">
        <f>IF('ปฏิทิน'!AY1="","",DAY('ปฏิทิน'!AY1))</f>
        <v/>
      </c>
      <c r="AZ6" s="653">
        <f>IF('ปฏิทิน'!AZ1="","",DAY('ปฏิทิน'!AZ1))</f>
        <v/>
      </c>
      <c r="BA6" s="653">
        <f>IF('ปฏิทิน'!BA1="","",DAY('ปฏิทิน'!BA1))</f>
        <v/>
      </c>
      <c r="BB6" s="653">
        <f>IF('ปฏิทิน'!BB1="","",DAY('ปฏิทิน'!BB1))</f>
        <v/>
      </c>
      <c r="BC6" s="653">
        <f>IF('ปฏิทิน'!BC1="","",DAY('ปฏิทิน'!BC1))</f>
        <v/>
      </c>
      <c r="BD6" s="653">
        <f>IF('ปฏิทิน'!BD1="","",DAY('ปฏิทิน'!BD1))</f>
        <v/>
      </c>
      <c r="BE6" s="653">
        <f>IF('ปฏิทิน'!BE1="","",DAY('ปฏิทิน'!BE1))</f>
        <v/>
      </c>
      <c r="BF6" s="653">
        <f>IF('ปฏิทิน'!BF1="","",DAY('ปฏิทิน'!BF1))</f>
        <v/>
      </c>
      <c r="BG6" s="653">
        <f>IF('ปฏิทิน'!BG1="","",DAY('ปฏิทิน'!BG1))</f>
        <v/>
      </c>
      <c r="BH6" s="653">
        <f>IF('ปฏิทิน'!BH1="","",DAY('ปฏิทิน'!BH1))</f>
        <v/>
      </c>
      <c r="BI6" s="653">
        <f>IF('ปฏิทิน'!BI1="","",DAY('ปฏิทิน'!BI1))</f>
        <v/>
      </c>
      <c r="BJ6" s="653">
        <f>IF('ปฏิทิน'!BJ1="","",DAY('ปฏิทิน'!BJ1))</f>
        <v/>
      </c>
      <c r="BK6" s="653">
        <f>IF('ปฏิทิน'!BK1="","",DAY('ปฏิทิน'!BK1))</f>
        <v/>
      </c>
      <c r="BL6" s="653">
        <f>IF('ปฏิทิน'!BL1="","",DAY('ปฏิทิน'!BL1))</f>
        <v/>
      </c>
      <c r="BM6" s="653">
        <f>IF('ปฏิทิน'!BM1="","",DAY('ปฏิทิน'!BM1))</f>
        <v/>
      </c>
      <c r="BN6" s="653">
        <f>IF('ปฏิทิน'!BN1="","",DAY('ปฏิทิน'!BN1))</f>
        <v/>
      </c>
      <c r="BO6" s="653">
        <f>IF('ปฏิทิน'!BO1="","",DAY('ปฏิทิน'!BO1))</f>
        <v/>
      </c>
      <c r="BP6" s="653">
        <f>IF('ปฏิทิน'!BP1="","",DAY('ปฏิทิน'!BP1))</f>
        <v/>
      </c>
      <c r="BQ6" s="657" t="inlineStr">
        <is>
          <t>ทำ</t>
        </is>
      </c>
      <c r="BR6" s="658" t="inlineStr">
        <is>
          <t>ไม่
ทำ</t>
        </is>
      </c>
      <c r="BS6" s="659" t="inlineStr">
        <is>
          <t>ร้อยละ</t>
        </is>
      </c>
      <c r="BT6" s="656">
        <f>IF('ปฏิทิน'!BT1="","",DAY('ปฏิทิน'!BT1))</f>
        <v/>
      </c>
      <c r="BU6" s="653">
        <f>IF('ปฏิทิน'!BU1="","",DAY('ปฏิทิน'!BU1))</f>
        <v/>
      </c>
      <c r="BV6" s="653">
        <f>IF('ปฏิทิน'!BV1="","",DAY('ปฏิทิน'!BV1))</f>
        <v/>
      </c>
      <c r="BW6" s="653">
        <f>IF('ปฏิทิน'!BW1="","",DAY('ปฏิทิน'!BW1))</f>
        <v/>
      </c>
      <c r="BX6" s="653">
        <f>IF('ปฏิทิน'!BX1="","",DAY('ปฏิทิน'!BX1))</f>
        <v/>
      </c>
      <c r="BY6" s="653">
        <f>IF('ปฏิทิน'!BY1="","",DAY('ปฏิทิน'!BY1))</f>
        <v/>
      </c>
      <c r="BZ6" s="653">
        <f>IF('ปฏิทิน'!BZ1="","",DAY('ปฏิทิน'!BZ1))</f>
        <v/>
      </c>
      <c r="CA6" s="653">
        <f>IF('ปฏิทิน'!CA1="","",DAY('ปฏิทิน'!CA1))</f>
        <v/>
      </c>
      <c r="CB6" s="653">
        <f>IF('ปฏิทิน'!CB1="","",DAY('ปฏิทิน'!CB1))</f>
        <v/>
      </c>
      <c r="CC6" s="653">
        <f>IF('ปฏิทิน'!CC1="","",DAY('ปฏิทิน'!CC1))</f>
        <v/>
      </c>
      <c r="CD6" s="653">
        <f>IF('ปฏิทิน'!CD1="","",DAY('ปฏิทิน'!CD1))</f>
        <v/>
      </c>
      <c r="CE6" s="653">
        <f>IF('ปฏิทิน'!CE1="","",DAY('ปฏิทิน'!CE1))</f>
        <v/>
      </c>
      <c r="CF6" s="653">
        <f>IF('ปฏิทิน'!CF1="","",DAY('ปฏิทิน'!CF1))</f>
        <v/>
      </c>
      <c r="CG6" s="653">
        <f>IF('ปฏิทิน'!CG1="","",DAY('ปฏิทิน'!CG1))</f>
        <v/>
      </c>
      <c r="CH6" s="653">
        <f>IF('ปฏิทิน'!CH1="","",DAY('ปฏิทิน'!CH1))</f>
        <v/>
      </c>
      <c r="CI6" s="653">
        <f>IF('ปฏิทิน'!CI1="","",DAY('ปฏิทิน'!CI1))</f>
        <v/>
      </c>
      <c r="CJ6" s="653">
        <f>IF('ปฏิทิน'!CJ1="","",DAY('ปฏิทิน'!CJ1))</f>
        <v/>
      </c>
      <c r="CK6" s="653">
        <f>IF('ปฏิทิน'!CK1="","",DAY('ปฏิทิน'!CK1))</f>
        <v/>
      </c>
      <c r="CL6" s="653">
        <f>IF('ปฏิทิน'!CL1="","",DAY('ปฏิทิน'!CL1))</f>
        <v/>
      </c>
      <c r="CM6" s="653">
        <f>IF('ปฏิทิน'!CM1="","",DAY('ปฏิทิน'!CM1))</f>
        <v/>
      </c>
      <c r="CN6" s="653">
        <f>IF('ปฏิทิน'!CN1="","",DAY('ปฏิทิน'!CN1))</f>
        <v/>
      </c>
      <c r="CO6" s="653">
        <f>IF('ปฏิทิน'!CO1="","",DAY('ปฏิทิน'!CO1))</f>
        <v/>
      </c>
      <c r="CP6" s="653">
        <f>IF('ปฏิทิน'!CP1="","",DAY('ปฏิทิน'!CP1))</f>
        <v/>
      </c>
      <c r="CQ6" s="653">
        <f>IF('ปฏิทิน'!CQ1="","",DAY('ปฏิทิน'!CQ1))</f>
        <v/>
      </c>
      <c r="CR6" s="653">
        <f>IF('ปฏิทิน'!CR1="","",DAY('ปฏิทิน'!CR1))</f>
        <v/>
      </c>
      <c r="CS6" s="653">
        <f>IF('ปฏิทิน'!CS1="","",DAY('ปฏิทิน'!CS1))</f>
        <v/>
      </c>
      <c r="CT6" s="653">
        <f>IF('ปฏิทิน'!CT1="","",DAY('ปฏิทิน'!CT1))</f>
        <v/>
      </c>
      <c r="CU6" s="653">
        <f>IF('ปฏิทิน'!CU1="","",DAY('ปฏิทิน'!CU1))</f>
        <v/>
      </c>
      <c r="CV6" s="653">
        <f>IF('ปฏิทิน'!CV1="","",DAY('ปฏิทิน'!CV1))</f>
        <v/>
      </c>
      <c r="CW6" s="653">
        <f>IF('ปฏิทิน'!CW1="","",DAY('ปฏิทิน'!CW1))</f>
        <v/>
      </c>
      <c r="CX6" s="653">
        <f>IF('ปฏิทิน'!CX1="","",DAY('ปฏิทิน'!CX1))</f>
        <v/>
      </c>
      <c r="CY6" s="657" t="inlineStr">
        <is>
          <t>ทำ</t>
        </is>
      </c>
      <c r="CZ6" s="658" t="inlineStr">
        <is>
          <t>ไม่
ทำ</t>
        </is>
      </c>
      <c r="DA6" s="659" t="inlineStr">
        <is>
          <t>ร้อยละ</t>
        </is>
      </c>
      <c r="DB6" s="656">
        <f>IF('ปฏิทิน'!DB1="","",DAY('ปฏิทิน'!DB1))</f>
        <v/>
      </c>
      <c r="DC6" s="653">
        <f>IF('ปฏิทิน'!DC1="","",DAY('ปฏิทิน'!DC1))</f>
        <v/>
      </c>
      <c r="DD6" s="653">
        <f>IF('ปฏิทิน'!DD1="","",DAY('ปฏิทิน'!DD1))</f>
        <v/>
      </c>
      <c r="DE6" s="653">
        <f>IF('ปฏิทิน'!DE1="","",DAY('ปฏิทิน'!DE1))</f>
        <v/>
      </c>
      <c r="DF6" s="653">
        <f>IF('ปฏิทิน'!DF1="","",DAY('ปฏิทิน'!DF1))</f>
        <v/>
      </c>
      <c r="DG6" s="653">
        <f>IF('ปฏิทิน'!DG1="","",DAY('ปฏิทิน'!DG1))</f>
        <v/>
      </c>
      <c r="DH6" s="653">
        <f>IF('ปฏิทิน'!DH1="","",DAY('ปฏิทิน'!DH1))</f>
        <v/>
      </c>
      <c r="DI6" s="653">
        <f>IF('ปฏิทิน'!DI1="","",DAY('ปฏิทิน'!DI1))</f>
        <v/>
      </c>
      <c r="DJ6" s="653">
        <f>IF('ปฏิทิน'!DJ1="","",DAY('ปฏิทิน'!DJ1))</f>
        <v/>
      </c>
      <c r="DK6" s="653">
        <f>IF('ปฏิทิน'!DK1="","",DAY('ปฏิทิน'!DK1))</f>
        <v/>
      </c>
      <c r="DL6" s="653">
        <f>IF('ปฏิทิน'!DL1="","",DAY('ปฏิทิน'!DL1))</f>
        <v/>
      </c>
      <c r="DM6" s="653">
        <f>IF('ปฏิทิน'!DM1="","",DAY('ปฏิทิน'!DM1))</f>
        <v/>
      </c>
      <c r="DN6" s="653">
        <f>IF('ปฏิทิน'!DN1="","",DAY('ปฏิทิน'!DN1))</f>
        <v/>
      </c>
      <c r="DO6" s="653">
        <f>IF('ปฏิทิน'!DO1="","",DAY('ปฏิทิน'!DO1))</f>
        <v/>
      </c>
      <c r="DP6" s="653">
        <f>IF('ปฏิทิน'!DP1="","",DAY('ปฏิทิน'!DP1))</f>
        <v/>
      </c>
      <c r="DQ6" s="653">
        <f>IF('ปฏิทิน'!DQ1="","",DAY('ปฏิทิน'!DQ1))</f>
        <v/>
      </c>
      <c r="DR6" s="653">
        <f>IF('ปฏิทิน'!DR1="","",DAY('ปฏิทิน'!DR1))</f>
        <v/>
      </c>
      <c r="DS6" s="653">
        <f>IF('ปฏิทิน'!DS1="","",DAY('ปฏิทิน'!DS1))</f>
        <v/>
      </c>
      <c r="DT6" s="653">
        <f>IF('ปฏิทิน'!DT1="","",DAY('ปฏิทิน'!DT1))</f>
        <v/>
      </c>
      <c r="DU6" s="653">
        <f>IF('ปฏิทิน'!DU1="","",DAY('ปฏิทิน'!DU1))</f>
        <v/>
      </c>
      <c r="DV6" s="653">
        <f>IF('ปฏิทิน'!DV1="","",DAY('ปฏิทิน'!DV1))</f>
        <v/>
      </c>
      <c r="DW6" s="653">
        <f>IF('ปฏิทิน'!DW1="","",DAY('ปฏิทิน'!DW1))</f>
        <v/>
      </c>
      <c r="DX6" s="653">
        <f>IF('ปฏิทิน'!DX1="","",DAY('ปฏิทิน'!DX1))</f>
        <v/>
      </c>
      <c r="DY6" s="653">
        <f>IF('ปฏิทิน'!DY1="","",DAY('ปฏิทิน'!DY1))</f>
        <v/>
      </c>
      <c r="DZ6" s="653">
        <f>IF('ปฏิทิน'!DZ1="","",DAY('ปฏิทิน'!DZ1))</f>
        <v/>
      </c>
      <c r="EA6" s="653">
        <f>IF('ปฏิทิน'!EA1="","",DAY('ปฏิทิน'!EA1))</f>
        <v/>
      </c>
      <c r="EB6" s="653">
        <f>IF('ปฏิทิน'!EB1="","",DAY('ปฏิทิน'!EB1))</f>
        <v/>
      </c>
      <c r="EC6" s="653">
        <f>IF('ปฏิทิน'!EC1="","",DAY('ปฏิทิน'!EC1))</f>
        <v/>
      </c>
      <c r="ED6" s="653">
        <f>IF('ปฏิทิน'!ED1="","",DAY('ปฏิทิน'!ED1))</f>
        <v/>
      </c>
      <c r="EE6" s="653">
        <f>IF('ปฏิทิน'!EE1="","",DAY('ปฏิทิน'!EE1))</f>
        <v/>
      </c>
      <c r="EF6" s="653">
        <f>IF('ปฏิทิน'!EF1="","",DAY('ปฏิทิน'!EF1))</f>
        <v/>
      </c>
      <c r="EG6" s="657" t="inlineStr">
        <is>
          <t>ทำ</t>
        </is>
      </c>
      <c r="EH6" s="658" t="inlineStr">
        <is>
          <t>ไม่
ทำ</t>
        </is>
      </c>
      <c r="EI6" s="659" t="inlineStr">
        <is>
          <t>ร้อยละ</t>
        </is>
      </c>
      <c r="EJ6" s="656">
        <f>IF('ปฏิทิน'!EJ1="","",DAY('ปฏิทิน'!EJ1))</f>
        <v/>
      </c>
      <c r="EK6" s="653">
        <f>IF('ปฏิทิน'!EK1="","",DAY('ปฏิทิน'!EK1))</f>
        <v/>
      </c>
      <c r="EL6" s="653">
        <f>IF('ปฏิทิน'!EL1="","",DAY('ปฏิทิน'!EL1))</f>
        <v/>
      </c>
      <c r="EM6" s="653">
        <f>IF('ปฏิทิน'!EM1="","",DAY('ปฏิทิน'!EM1))</f>
        <v/>
      </c>
      <c r="EN6" s="653">
        <f>IF('ปฏิทิน'!EN1="","",DAY('ปฏิทิน'!EN1))</f>
        <v/>
      </c>
      <c r="EO6" s="653">
        <f>IF('ปฏิทิน'!EO1="","",DAY('ปฏิทิน'!EO1))</f>
        <v/>
      </c>
      <c r="EP6" s="653">
        <f>IF('ปฏิทิน'!EP1="","",DAY('ปฏิทิน'!EP1))</f>
        <v/>
      </c>
      <c r="EQ6" s="653">
        <f>IF('ปฏิทิน'!EQ1="","",DAY('ปฏิทิน'!EQ1))</f>
        <v/>
      </c>
      <c r="ER6" s="653">
        <f>IF('ปฏิทิน'!ER1="","",DAY('ปฏิทิน'!ER1))</f>
        <v/>
      </c>
      <c r="ES6" s="653">
        <f>IF('ปฏิทิน'!ES1="","",DAY('ปฏิทิน'!ES1))</f>
        <v/>
      </c>
      <c r="ET6" s="653">
        <f>IF('ปฏิทิน'!ET1="","",DAY('ปฏิทิน'!ET1))</f>
        <v/>
      </c>
      <c r="EU6" s="653">
        <f>IF('ปฏิทิน'!EU1="","",DAY('ปฏิทิน'!EU1))</f>
        <v/>
      </c>
      <c r="EV6" s="653">
        <f>IF('ปฏิทิน'!EV1="","",DAY('ปฏิทิน'!EV1))</f>
        <v/>
      </c>
      <c r="EW6" s="653">
        <f>IF('ปฏิทิน'!EW1="","",DAY('ปฏิทิน'!EW1))</f>
        <v/>
      </c>
      <c r="EX6" s="653">
        <f>IF('ปฏิทิน'!EX1="","",DAY('ปฏิทิน'!EX1))</f>
        <v/>
      </c>
      <c r="EY6" s="653">
        <f>IF('ปฏิทิน'!EY1="","",DAY('ปฏิทิน'!EY1))</f>
        <v/>
      </c>
      <c r="EZ6" s="653">
        <f>IF('ปฏิทิน'!EZ1="","",DAY('ปฏิทิน'!EZ1))</f>
        <v/>
      </c>
      <c r="FA6" s="653">
        <f>IF('ปฏิทิน'!FA1="","",DAY('ปฏิทิน'!FA1))</f>
        <v/>
      </c>
      <c r="FB6" s="653">
        <f>IF('ปฏิทิน'!FB1="","",DAY('ปฏิทิน'!FB1))</f>
        <v/>
      </c>
      <c r="FC6" s="653">
        <f>IF('ปฏิทิน'!FC1="","",DAY('ปฏิทิน'!FC1))</f>
        <v/>
      </c>
      <c r="FD6" s="653">
        <f>IF('ปฏิทิน'!FD1="","",DAY('ปฏิทิน'!FD1))</f>
        <v/>
      </c>
      <c r="FE6" s="653">
        <f>IF('ปฏิทิน'!FE1="","",DAY('ปฏิทิน'!FE1))</f>
        <v/>
      </c>
      <c r="FF6" s="653">
        <f>IF('ปฏิทิน'!FF1="","",DAY('ปฏิทิน'!FF1))</f>
        <v/>
      </c>
      <c r="FG6" s="653">
        <f>IF('ปฏิทิน'!FG1="","",DAY('ปฏิทิน'!FG1))</f>
        <v/>
      </c>
      <c r="FH6" s="653">
        <f>IF('ปฏิทิน'!FH1="","",DAY('ปฏิทิน'!FH1))</f>
        <v/>
      </c>
      <c r="FI6" s="653">
        <f>IF('ปฏิทิน'!FI1="","",DAY('ปฏิทิน'!FI1))</f>
        <v/>
      </c>
      <c r="FJ6" s="653">
        <f>IF('ปฏิทิน'!FJ1="","",DAY('ปฏิทิน'!FJ1))</f>
        <v/>
      </c>
      <c r="FK6" s="653">
        <f>IF('ปฏิทิน'!FK1="","",DAY('ปฏิทิน'!FK1))</f>
        <v/>
      </c>
      <c r="FL6" s="653">
        <f>IF('ปฏิทิน'!FL1="","",DAY('ปฏิทิน'!FL1))</f>
        <v/>
      </c>
      <c r="FM6" s="653">
        <f>IF('ปฏิทิน'!FM1="","",DAY('ปฏิทิน'!FM1))</f>
        <v/>
      </c>
      <c r="FN6" s="653">
        <f>IF('ปฏิทิน'!FN1="","",DAY('ปฏิทิน'!FN1))</f>
        <v/>
      </c>
      <c r="FO6" s="657" t="inlineStr">
        <is>
          <t>ทำ</t>
        </is>
      </c>
      <c r="FP6" s="658" t="inlineStr">
        <is>
          <t>ไม่
ทำ</t>
        </is>
      </c>
      <c r="FQ6" s="659" t="inlineStr">
        <is>
          <t>ร้อยละ</t>
        </is>
      </c>
      <c r="FR6" s="656">
        <f>IF('ปฏิทิน'!FR1="","",DAY('ปฏิทิน'!FR1))</f>
        <v/>
      </c>
      <c r="FS6" s="653">
        <f>IF('ปฏิทิน'!FS1="","",DAY('ปฏิทิน'!FS1))</f>
        <v/>
      </c>
      <c r="FT6" s="653">
        <f>IF('ปฏิทิน'!FT1="","",DAY('ปฏิทิน'!FT1))</f>
        <v/>
      </c>
      <c r="FU6" s="653">
        <f>IF('ปฏิทิน'!FU1="","",DAY('ปฏิทิน'!FU1))</f>
        <v/>
      </c>
      <c r="FV6" s="653">
        <f>IF('ปฏิทิน'!FV1="","",DAY('ปฏิทิน'!FV1))</f>
        <v/>
      </c>
      <c r="FW6" s="653">
        <f>IF('ปฏิทิน'!FW1="","",DAY('ปฏิทิน'!FW1))</f>
        <v/>
      </c>
      <c r="FX6" s="653">
        <f>IF('ปฏิทิน'!FX1="","",DAY('ปฏิทิน'!FX1))</f>
        <v/>
      </c>
      <c r="FY6" s="653">
        <f>IF('ปฏิทิน'!FY1="","",DAY('ปฏิทิน'!FY1))</f>
        <v/>
      </c>
      <c r="FZ6" s="653">
        <f>IF('ปฏิทิน'!FZ1="","",DAY('ปฏิทิน'!FZ1))</f>
        <v/>
      </c>
      <c r="GA6" s="653">
        <f>IF('ปฏิทิน'!GA1="","",DAY('ปฏิทิน'!GA1))</f>
        <v/>
      </c>
      <c r="GB6" s="653">
        <f>IF('ปฏิทิน'!GB1="","",DAY('ปฏิทิน'!GB1))</f>
        <v/>
      </c>
      <c r="GC6" s="653">
        <f>IF('ปฏิทิน'!GC1="","",DAY('ปฏิทิน'!GC1))</f>
        <v/>
      </c>
      <c r="GD6" s="653">
        <f>IF('ปฏิทิน'!GD1="","",DAY('ปฏิทิน'!GD1))</f>
        <v/>
      </c>
      <c r="GE6" s="653">
        <f>IF('ปฏิทิน'!GE1="","",DAY('ปฏิทิน'!GE1))</f>
        <v/>
      </c>
      <c r="GF6" s="653">
        <f>IF('ปฏิทิน'!GF1="","",DAY('ปฏิทิน'!GF1))</f>
        <v/>
      </c>
      <c r="GG6" s="653">
        <f>IF('ปฏิทิน'!GG1="","",DAY('ปฏิทิน'!GG1))</f>
        <v/>
      </c>
      <c r="GH6" s="653">
        <f>IF('ปฏิทิน'!GH1="","",DAY('ปฏิทิน'!GH1))</f>
        <v/>
      </c>
      <c r="GI6" s="653">
        <f>IF('ปฏิทิน'!GI1="","",DAY('ปฏิทิน'!GI1))</f>
        <v/>
      </c>
      <c r="GJ6" s="653">
        <f>IF('ปฏิทิน'!GJ1="","",DAY('ปฏิทิน'!GJ1))</f>
        <v/>
      </c>
      <c r="GK6" s="653">
        <f>IF('ปฏิทิน'!GK1="","",DAY('ปฏิทิน'!GK1))</f>
        <v/>
      </c>
      <c r="GL6" s="653">
        <f>IF('ปฏิทิน'!GL1="","",DAY('ปฏิทิน'!GL1))</f>
        <v/>
      </c>
      <c r="GM6" s="653">
        <f>IF('ปฏิทิน'!GM1="","",DAY('ปฏิทิน'!GM1))</f>
        <v/>
      </c>
      <c r="GN6" s="653">
        <f>IF('ปฏิทิน'!GN1="","",DAY('ปฏิทิน'!GN1))</f>
        <v/>
      </c>
      <c r="GO6" s="653">
        <f>IF('ปฏิทิน'!GO1="","",DAY('ปฏิทิน'!GO1))</f>
        <v/>
      </c>
      <c r="GP6" s="653">
        <f>IF('ปฏิทิน'!GP1="","",DAY('ปฏิทิน'!GP1))</f>
        <v/>
      </c>
      <c r="GQ6" s="653">
        <f>IF('ปฏิทิน'!GQ1="","",DAY('ปฏิทิน'!GQ1))</f>
        <v/>
      </c>
      <c r="GR6" s="653">
        <f>IF('ปฏิทิน'!GR1="","",DAY('ปฏิทิน'!GR1))</f>
        <v/>
      </c>
      <c r="GS6" s="653">
        <f>IF('ปฏิทิน'!GS1="","",DAY('ปฏิทิน'!GS1))</f>
        <v/>
      </c>
      <c r="GT6" s="653">
        <f>IF('ปฏิทิน'!GT1="","",DAY('ปฏิทิน'!GT1))</f>
        <v/>
      </c>
      <c r="GU6" s="653">
        <f>IF('ปฏิทิน'!GU1="","",DAY('ปฏิทิน'!GU1))</f>
        <v/>
      </c>
      <c r="GV6" s="653">
        <f>IF('ปฏิทิน'!GV1="","",DAY('ปฏิทิน'!GV1))</f>
        <v/>
      </c>
      <c r="GW6" s="657" t="inlineStr">
        <is>
          <t>ทำ</t>
        </is>
      </c>
      <c r="GX6" s="658" t="inlineStr">
        <is>
          <t>ไม่
ทำ</t>
        </is>
      </c>
      <c r="GY6" s="659" t="inlineStr">
        <is>
          <t>ร้อยละ</t>
        </is>
      </c>
    </row>
    <row r="7">
      <c r="D7" s="660">
        <f>IF('ปฏิทิน'!D1="","",CHOOSE(WEEKDAY('ปฏิทิน'!D1,2),"จ.","อ.","พ.","พฤ.","ศ.","ส.","อา."))</f>
        <v/>
      </c>
      <c r="E7" s="661">
        <f>IF('ปฏิทิน'!E1="","",CHOOSE(WEEKDAY('ปฏิทิน'!E1,2),"จ.","อ.","พ.","พฤ.","ศ.","ส.","อา."))</f>
        <v/>
      </c>
      <c r="F7" s="661">
        <f>IF('ปฏิทิน'!F1="","",CHOOSE(WEEKDAY('ปฏิทิน'!F1,2),"จ.","อ.","พ.","พฤ.","ศ.","ส.","อา."))</f>
        <v/>
      </c>
      <c r="G7" s="661">
        <f>IF('ปฏิทิน'!G1="","",CHOOSE(WEEKDAY('ปฏิทิน'!G1,2),"จ.","อ.","พ.","พฤ.","ศ.","ส.","อา."))</f>
        <v/>
      </c>
      <c r="H7" s="661">
        <f>IF('ปฏิทิน'!H1="","",CHOOSE(WEEKDAY('ปฏิทิน'!H1,2),"จ.","อ.","พ.","พฤ.","ศ.","ส.","อา."))</f>
        <v/>
      </c>
      <c r="I7" s="661">
        <f>IF('ปฏิทิน'!I1="","",CHOOSE(WEEKDAY('ปฏิทิน'!I1,2),"จ.","อ.","พ.","พฤ.","ศ.","ส.","อา."))</f>
        <v/>
      </c>
      <c r="J7" s="661">
        <f>IF('ปฏิทิน'!J1="","",CHOOSE(WEEKDAY('ปฏิทิน'!J1,2),"จ.","อ.","พ.","พฤ.","ศ.","ส.","อา."))</f>
        <v/>
      </c>
      <c r="K7" s="661">
        <f>IF('ปฏิทิน'!K1="","",CHOOSE(WEEKDAY('ปฏิทิน'!K1,2),"จ.","อ.","พ.","พฤ.","ศ.","ส.","อา."))</f>
        <v/>
      </c>
      <c r="L7" s="661">
        <f>IF('ปฏิทิน'!L1="","",CHOOSE(WEEKDAY('ปฏิทิน'!L1,2),"จ.","อ.","พ.","พฤ.","ศ.","ส.","อา."))</f>
        <v/>
      </c>
      <c r="M7" s="661">
        <f>IF('ปฏิทิน'!M1="","",CHOOSE(WEEKDAY('ปฏิทิน'!M1,2),"จ.","อ.","พ.","พฤ.","ศ.","ส.","อา."))</f>
        <v/>
      </c>
      <c r="N7" s="661">
        <f>IF('ปฏิทิน'!N1="","",CHOOSE(WEEKDAY('ปฏิทิน'!N1,2),"จ.","อ.","พ.","พฤ.","ศ.","ส.","อา."))</f>
        <v/>
      </c>
      <c r="O7" s="661">
        <f>IF('ปฏิทิน'!O1="","",CHOOSE(WEEKDAY('ปฏิทิน'!O1,2),"จ.","อ.","พ.","พฤ.","ศ.","ส.","อา."))</f>
        <v/>
      </c>
      <c r="P7" s="661">
        <f>IF('ปฏิทิน'!P1="","",CHOOSE(WEEKDAY('ปฏิทิน'!P1,2),"จ.","อ.","พ.","พฤ.","ศ.","ส.","อา."))</f>
        <v/>
      </c>
      <c r="Q7" s="661">
        <f>IF('ปฏิทิน'!Q1="","",CHOOSE(WEEKDAY('ปฏิทิน'!Q1,2),"จ.","อ.","พ.","พฤ.","ศ.","ส.","อา."))</f>
        <v/>
      </c>
      <c r="R7" s="661">
        <f>IF('ปฏิทิน'!R1="","",CHOOSE(WEEKDAY('ปฏิทิน'!R1,2),"จ.","อ.","พ.","พฤ.","ศ.","ส.","อา."))</f>
        <v/>
      </c>
      <c r="S7" s="661">
        <f>IF('ปฏิทิน'!S1="","",CHOOSE(WEEKDAY('ปฏิทิน'!S1,2),"จ.","อ.","พ.","พฤ.","ศ.","ส.","อา."))</f>
        <v/>
      </c>
      <c r="T7" s="661">
        <f>IF('ปฏิทิน'!T1="","",CHOOSE(WEEKDAY('ปฏิทิน'!T1,2),"จ.","อ.","พ.","พฤ.","ศ.","ส.","อา."))</f>
        <v/>
      </c>
      <c r="U7" s="661">
        <f>IF('ปฏิทิน'!U1="","",CHOOSE(WEEKDAY('ปฏิทิน'!U1,2),"จ.","อ.","พ.","พฤ.","ศ.","ส.","อา."))</f>
        <v/>
      </c>
      <c r="V7" s="661">
        <f>IF('ปฏิทิน'!V1="","",CHOOSE(WEEKDAY('ปฏิทิน'!V1,2),"จ.","อ.","พ.","พฤ.","ศ.","ส.","อา."))</f>
        <v/>
      </c>
      <c r="W7" s="661">
        <f>IF('ปฏิทิน'!W1="","",CHOOSE(WEEKDAY('ปฏิทิน'!W1,2),"จ.","อ.","พ.","พฤ.","ศ.","ส.","อา."))</f>
        <v/>
      </c>
      <c r="X7" s="661">
        <f>IF('ปฏิทิน'!X1="","",CHOOSE(WEEKDAY('ปฏิทิน'!X1,2),"จ.","อ.","พ.","พฤ.","ศ.","ส.","อา."))</f>
        <v/>
      </c>
      <c r="Y7" s="661">
        <f>IF('ปฏิทิน'!Y1="","",CHOOSE(WEEKDAY('ปฏิทิน'!Y1,2),"จ.","อ.","พ.","พฤ.","ศ.","ส.","อา."))</f>
        <v/>
      </c>
      <c r="Z7" s="661">
        <f>IF('ปฏิทิน'!Z1="","",CHOOSE(WEEKDAY('ปฏิทิน'!Z1,2),"จ.","อ.","พ.","พฤ.","ศ.","ส.","อา."))</f>
        <v/>
      </c>
      <c r="AA7" s="661">
        <f>IF('ปฏิทิน'!AA1="","",CHOOSE(WEEKDAY('ปฏิทิน'!AA1,2),"จ.","อ.","พ.","พฤ.","ศ.","ส.","อา."))</f>
        <v/>
      </c>
      <c r="AB7" s="661">
        <f>IF('ปฏิทิน'!AB1="","",CHOOSE(WEEKDAY('ปฏิทิน'!AB1,2),"จ.","อ.","พ.","พฤ.","ศ.","ส.","อา."))</f>
        <v/>
      </c>
      <c r="AC7" s="661">
        <f>IF('ปฏิทิน'!AC1="","",CHOOSE(WEEKDAY('ปฏิทิน'!AC1,2),"จ.","อ.","พ.","พฤ.","ศ.","ส.","อา."))</f>
        <v/>
      </c>
      <c r="AD7" s="661">
        <f>IF('ปฏิทิน'!AD1="","",CHOOSE(WEEKDAY('ปฏิทิน'!AD1,2),"จ.","อ.","พ.","พฤ.","ศ.","ส.","อา."))</f>
        <v/>
      </c>
      <c r="AE7" s="661">
        <f>IF('ปฏิทิน'!AE1="","",CHOOSE(WEEKDAY('ปฏิทิน'!AE1,2),"จ.","อ.","พ.","พฤ.","ศ.","ส.","อา."))</f>
        <v/>
      </c>
      <c r="AF7" s="661">
        <f>IF('ปฏิทิน'!AF1="","",CHOOSE(WEEKDAY('ปฏิทิน'!AF1,2),"จ.","อ.","พ.","พฤ.","ศ.","ส.","อา."))</f>
        <v/>
      </c>
      <c r="AG7" s="661">
        <f>IF('ปฏิทิน'!AG1="","",CHOOSE(WEEKDAY('ปฏิทิน'!AG1,2),"จ.","อ.","พ.","พฤ.","ศ.","ส.","อา."))</f>
        <v/>
      </c>
      <c r="AH7" s="661">
        <f>IF('ปฏิทิน'!AH1="","",CHOOSE(WEEKDAY('ปฏิทิน'!AH1,2),"จ.","อ.","พ.","พฤ.","ศ.","ส.","อา."))</f>
        <v/>
      </c>
      <c r="AI7" s="662" t="n"/>
      <c r="AL7" s="660">
        <f>IF('ปฏิทิน'!AL1="","",CHOOSE(WEEKDAY('ปฏิทิน'!AL1,2),"จ.","อ.","พ.","พฤ.","ศ.","ส.","อา."))</f>
        <v/>
      </c>
      <c r="AM7" s="661">
        <f>IF('ปฏิทิน'!AM1="","",CHOOSE(WEEKDAY('ปฏิทิน'!AM1,2),"จ.","อ.","พ.","พฤ.","ศ.","ส.","อา."))</f>
        <v/>
      </c>
      <c r="AN7" s="661">
        <f>IF('ปฏิทิน'!AN1="","",CHOOSE(WEEKDAY('ปฏิทิน'!AN1,2),"จ.","อ.","พ.","พฤ.","ศ.","ส.","อา."))</f>
        <v/>
      </c>
      <c r="AO7" s="661">
        <f>IF('ปฏิทิน'!AO1="","",CHOOSE(WEEKDAY('ปฏิทิน'!AO1,2),"จ.","อ.","พ.","พฤ.","ศ.","ส.","อา."))</f>
        <v/>
      </c>
      <c r="AP7" s="661">
        <f>IF('ปฏิทิน'!AP1="","",CHOOSE(WEEKDAY('ปฏิทิน'!AP1,2),"จ.","อ.","พ.","พฤ.","ศ.","ส.","อา."))</f>
        <v/>
      </c>
      <c r="AQ7" s="661">
        <f>IF('ปฏิทิน'!AQ1="","",CHOOSE(WEEKDAY('ปฏิทิน'!AQ1,2),"จ.","อ.","พ.","พฤ.","ศ.","ส.","อา."))</f>
        <v/>
      </c>
      <c r="AR7" s="661">
        <f>IF('ปฏิทิน'!AR1="","",CHOOSE(WEEKDAY('ปฏิทิน'!AR1,2),"จ.","อ.","พ.","พฤ.","ศ.","ส.","อา."))</f>
        <v/>
      </c>
      <c r="AS7" s="661">
        <f>IF('ปฏิทิน'!AS1="","",CHOOSE(WEEKDAY('ปฏิทิน'!AS1,2),"จ.","อ.","พ.","พฤ.","ศ.","ส.","อา."))</f>
        <v/>
      </c>
      <c r="AT7" s="661">
        <f>IF('ปฏิทิน'!AT1="","",CHOOSE(WEEKDAY('ปฏิทิน'!AT1,2),"จ.","อ.","พ.","พฤ.","ศ.","ส.","อา."))</f>
        <v/>
      </c>
      <c r="AU7" s="661">
        <f>IF('ปฏิทิน'!AU1="","",CHOOSE(WEEKDAY('ปฏิทิน'!AU1,2),"จ.","อ.","พ.","พฤ.","ศ.","ส.","อา."))</f>
        <v/>
      </c>
      <c r="AV7" s="661">
        <f>IF('ปฏิทิน'!AV1="","",CHOOSE(WEEKDAY('ปฏิทิน'!AV1,2),"จ.","อ.","พ.","พฤ.","ศ.","ส.","อา."))</f>
        <v/>
      </c>
      <c r="AW7" s="661">
        <f>IF('ปฏิทิน'!AW1="","",CHOOSE(WEEKDAY('ปฏิทิน'!AW1,2),"จ.","อ.","พ.","พฤ.","ศ.","ส.","อา."))</f>
        <v/>
      </c>
      <c r="AX7" s="661">
        <f>IF('ปฏิทิน'!AX1="","",CHOOSE(WEEKDAY('ปฏิทิน'!AX1,2),"จ.","อ.","พ.","พฤ.","ศ.","ส.","อา."))</f>
        <v/>
      </c>
      <c r="AY7" s="661">
        <f>IF('ปฏิทิน'!AY1="","",CHOOSE(WEEKDAY('ปฏิทิน'!AY1,2),"จ.","อ.","พ.","พฤ.","ศ.","ส.","อา."))</f>
        <v/>
      </c>
      <c r="AZ7" s="661">
        <f>IF('ปฏิทิน'!AZ1="","",CHOOSE(WEEKDAY('ปฏิทิน'!AZ1,2),"จ.","อ.","พ.","พฤ.","ศ.","ส.","อา."))</f>
        <v/>
      </c>
      <c r="BA7" s="661">
        <f>IF('ปฏิทิน'!BA1="","",CHOOSE(WEEKDAY('ปฏิทิน'!BA1,2),"จ.","อ.","พ.","พฤ.","ศ.","ส.","อา."))</f>
        <v/>
      </c>
      <c r="BB7" s="661">
        <f>IF('ปฏิทิน'!BB1="","",CHOOSE(WEEKDAY('ปฏิทิน'!BB1,2),"จ.","อ.","พ.","พฤ.","ศ.","ส.","อา."))</f>
        <v/>
      </c>
      <c r="BC7" s="661">
        <f>IF('ปฏิทิน'!BC1="","",CHOOSE(WEEKDAY('ปฏิทิน'!BC1,2),"จ.","อ.","พ.","พฤ.","ศ.","ส.","อา."))</f>
        <v/>
      </c>
      <c r="BD7" s="661">
        <f>IF('ปฏิทิน'!BD1="","",CHOOSE(WEEKDAY('ปฏิทิน'!BD1,2),"จ.","อ.","พ.","พฤ.","ศ.","ส.","อา."))</f>
        <v/>
      </c>
      <c r="BE7" s="661">
        <f>IF('ปฏิทิน'!BE1="","",CHOOSE(WEEKDAY('ปฏิทิน'!BE1,2),"จ.","อ.","พ.","พฤ.","ศ.","ส.","อา."))</f>
        <v/>
      </c>
      <c r="BF7" s="661">
        <f>IF('ปฏิทิน'!BF1="","",CHOOSE(WEEKDAY('ปฏิทิน'!BF1,2),"จ.","อ.","พ.","พฤ.","ศ.","ส.","อา."))</f>
        <v/>
      </c>
      <c r="BG7" s="661">
        <f>IF('ปฏิทิน'!BG1="","",CHOOSE(WEEKDAY('ปฏิทิน'!BG1,2),"จ.","อ.","พ.","พฤ.","ศ.","ส.","อา."))</f>
        <v/>
      </c>
      <c r="BH7" s="661">
        <f>IF('ปฏิทิน'!BH1="","",CHOOSE(WEEKDAY('ปฏิทิน'!BH1,2),"จ.","อ.","พ.","พฤ.","ศ.","ส.","อา."))</f>
        <v/>
      </c>
      <c r="BI7" s="661">
        <f>IF('ปฏิทิน'!BI1="","",CHOOSE(WEEKDAY('ปฏิทิน'!BI1,2),"จ.","อ.","พ.","พฤ.","ศ.","ส.","อา."))</f>
        <v/>
      </c>
      <c r="BJ7" s="661">
        <f>IF('ปฏิทิน'!BJ1="","",CHOOSE(WEEKDAY('ปฏิทิน'!BJ1,2),"จ.","อ.","พ.","พฤ.","ศ.","ส.","อา."))</f>
        <v/>
      </c>
      <c r="BK7" s="661">
        <f>IF('ปฏิทิน'!BK1="","",CHOOSE(WEEKDAY('ปฏิทิน'!BK1,2),"จ.","อ.","พ.","พฤ.","ศ.","ส.","อา."))</f>
        <v/>
      </c>
      <c r="BL7" s="661">
        <f>IF('ปฏิทิน'!BL1="","",CHOOSE(WEEKDAY('ปฏิทิน'!BL1,2),"จ.","อ.","พ.","พฤ.","ศ.","ส.","อา."))</f>
        <v/>
      </c>
      <c r="BM7" s="661">
        <f>IF('ปฏิทิน'!BM1="","",CHOOSE(WEEKDAY('ปฏิทิน'!BM1,2),"จ.","อ.","พ.","พฤ.","ศ.","ส.","อา."))</f>
        <v/>
      </c>
      <c r="BN7" s="661">
        <f>IF('ปฏิทิน'!BN1="","",CHOOSE(WEEKDAY('ปฏิทิน'!BN1,2),"จ.","อ.","พ.","พฤ.","ศ.","ส.","อา."))</f>
        <v/>
      </c>
      <c r="BO7" s="661">
        <f>IF('ปฏิทิน'!BO1="","",CHOOSE(WEEKDAY('ปฏิทิน'!BO1,2),"จ.","อ.","พ.","พฤ.","ศ.","ส.","อา."))</f>
        <v/>
      </c>
      <c r="BP7" s="661">
        <f>IF('ปฏิทิน'!BP1="","",CHOOSE(WEEKDAY('ปฏิทิน'!BP1,2),"จ.","อ.","พ.","พฤ.","ศ.","ส.","อา."))</f>
        <v/>
      </c>
      <c r="BQ7" s="662" t="n"/>
      <c r="BT7" s="660">
        <f>IF('ปฏิทิน'!BT1="","",CHOOSE(WEEKDAY('ปฏิทิน'!BT1,2),"จ.","อ.","พ.","พฤ.","ศ.","ส.","อา."))</f>
        <v/>
      </c>
      <c r="BU7" s="661">
        <f>IF('ปฏิทิน'!BU1="","",CHOOSE(WEEKDAY('ปฏิทิน'!BU1,2),"จ.","อ.","พ.","พฤ.","ศ.","ส.","อา."))</f>
        <v/>
      </c>
      <c r="BV7" s="661">
        <f>IF('ปฏิทิน'!BV1="","",CHOOSE(WEEKDAY('ปฏิทิน'!BV1,2),"จ.","อ.","พ.","พฤ.","ศ.","ส.","อา."))</f>
        <v/>
      </c>
      <c r="BW7" s="661">
        <f>IF('ปฏิทิน'!BW1="","",CHOOSE(WEEKDAY('ปฏิทิน'!BW1,2),"จ.","อ.","พ.","พฤ.","ศ.","ส.","อา."))</f>
        <v/>
      </c>
      <c r="BX7" s="661">
        <f>IF('ปฏิทิน'!BX1="","",CHOOSE(WEEKDAY('ปฏิทิน'!BX1,2),"จ.","อ.","พ.","พฤ.","ศ.","ส.","อา."))</f>
        <v/>
      </c>
      <c r="BY7" s="661">
        <f>IF('ปฏิทิน'!BY1="","",CHOOSE(WEEKDAY('ปฏิทิน'!BY1,2),"จ.","อ.","พ.","พฤ.","ศ.","ส.","อา."))</f>
        <v/>
      </c>
      <c r="BZ7" s="661">
        <f>IF('ปฏิทิน'!BZ1="","",CHOOSE(WEEKDAY('ปฏิทิน'!BZ1,2),"จ.","อ.","พ.","พฤ.","ศ.","ส.","อา."))</f>
        <v/>
      </c>
      <c r="CA7" s="661">
        <f>IF('ปฏิทิน'!CA1="","",CHOOSE(WEEKDAY('ปฏิทิน'!CA1,2),"จ.","อ.","พ.","พฤ.","ศ.","ส.","อา."))</f>
        <v/>
      </c>
      <c r="CB7" s="661">
        <f>IF('ปฏิทิน'!CB1="","",CHOOSE(WEEKDAY('ปฏิทิน'!CB1,2),"จ.","อ.","พ.","พฤ.","ศ.","ส.","อา."))</f>
        <v/>
      </c>
      <c r="CC7" s="661">
        <f>IF('ปฏิทิน'!CC1="","",CHOOSE(WEEKDAY('ปฏิทิน'!CC1,2),"จ.","อ.","พ.","พฤ.","ศ.","ส.","อา."))</f>
        <v/>
      </c>
      <c r="CD7" s="661">
        <f>IF('ปฏิทิน'!CD1="","",CHOOSE(WEEKDAY('ปฏิทิน'!CD1,2),"จ.","อ.","พ.","พฤ.","ศ.","ส.","อา."))</f>
        <v/>
      </c>
      <c r="CE7" s="661">
        <f>IF('ปฏิทิน'!CE1="","",CHOOSE(WEEKDAY('ปฏิทิน'!CE1,2),"จ.","อ.","พ.","พฤ.","ศ.","ส.","อา."))</f>
        <v/>
      </c>
      <c r="CF7" s="661">
        <f>IF('ปฏิทิน'!CF1="","",CHOOSE(WEEKDAY('ปฏิทิน'!CF1,2),"จ.","อ.","พ.","พฤ.","ศ.","ส.","อา."))</f>
        <v/>
      </c>
      <c r="CG7" s="661">
        <f>IF('ปฏิทิน'!CG1="","",CHOOSE(WEEKDAY('ปฏิทิน'!CG1,2),"จ.","อ.","พ.","พฤ.","ศ.","ส.","อา."))</f>
        <v/>
      </c>
      <c r="CH7" s="661">
        <f>IF('ปฏิทิน'!CH1="","",CHOOSE(WEEKDAY('ปฏิทิน'!CH1,2),"จ.","อ.","พ.","พฤ.","ศ.","ส.","อา."))</f>
        <v/>
      </c>
      <c r="CI7" s="661">
        <f>IF('ปฏิทิน'!CI1="","",CHOOSE(WEEKDAY('ปฏิทิน'!CI1,2),"จ.","อ.","พ.","พฤ.","ศ.","ส.","อา."))</f>
        <v/>
      </c>
      <c r="CJ7" s="661">
        <f>IF('ปฏิทิน'!CJ1="","",CHOOSE(WEEKDAY('ปฏิทิน'!CJ1,2),"จ.","อ.","พ.","พฤ.","ศ.","ส.","อา."))</f>
        <v/>
      </c>
      <c r="CK7" s="661">
        <f>IF('ปฏิทิน'!CK1="","",CHOOSE(WEEKDAY('ปฏิทิน'!CK1,2),"จ.","อ.","พ.","พฤ.","ศ.","ส.","อา."))</f>
        <v/>
      </c>
      <c r="CL7" s="661">
        <f>IF('ปฏิทิน'!CL1="","",CHOOSE(WEEKDAY('ปฏิทิน'!CL1,2),"จ.","อ.","พ.","พฤ.","ศ.","ส.","อา."))</f>
        <v/>
      </c>
      <c r="CM7" s="661">
        <f>IF('ปฏิทิน'!CM1="","",CHOOSE(WEEKDAY('ปฏิทิน'!CM1,2),"จ.","อ.","พ.","พฤ.","ศ.","ส.","อา."))</f>
        <v/>
      </c>
      <c r="CN7" s="661">
        <f>IF('ปฏิทิน'!CN1="","",CHOOSE(WEEKDAY('ปฏิทิน'!CN1,2),"จ.","อ.","พ.","พฤ.","ศ.","ส.","อา."))</f>
        <v/>
      </c>
      <c r="CO7" s="661">
        <f>IF('ปฏิทิน'!CO1="","",CHOOSE(WEEKDAY('ปฏิทิน'!CO1,2),"จ.","อ.","พ.","พฤ.","ศ.","ส.","อา."))</f>
        <v/>
      </c>
      <c r="CP7" s="661">
        <f>IF('ปฏิทิน'!CP1="","",CHOOSE(WEEKDAY('ปฏิทิน'!CP1,2),"จ.","อ.","พ.","พฤ.","ศ.","ส.","อา."))</f>
        <v/>
      </c>
      <c r="CQ7" s="661">
        <f>IF('ปฏิทิน'!CQ1="","",CHOOSE(WEEKDAY('ปฏิทิน'!CQ1,2),"จ.","อ.","พ.","พฤ.","ศ.","ส.","อา."))</f>
        <v/>
      </c>
      <c r="CR7" s="661">
        <f>IF('ปฏิทิน'!CR1="","",CHOOSE(WEEKDAY('ปฏิทิน'!CR1,2),"จ.","อ.","พ.","พฤ.","ศ.","ส.","อา."))</f>
        <v/>
      </c>
      <c r="CS7" s="661">
        <f>IF('ปฏิทิน'!CS1="","",CHOOSE(WEEKDAY('ปฏิทิน'!CS1,2),"จ.","อ.","พ.","พฤ.","ศ.","ส.","อา."))</f>
        <v/>
      </c>
      <c r="CT7" s="661">
        <f>IF('ปฏิทิน'!CT1="","",CHOOSE(WEEKDAY('ปฏิทิน'!CT1,2),"จ.","อ.","พ.","พฤ.","ศ.","ส.","อา."))</f>
        <v/>
      </c>
      <c r="CU7" s="661">
        <f>IF('ปฏิทิน'!CU1="","",CHOOSE(WEEKDAY('ปฏิทิน'!CU1,2),"จ.","อ.","พ.","พฤ.","ศ.","ส.","อา."))</f>
        <v/>
      </c>
      <c r="CV7" s="661">
        <f>IF('ปฏิทิน'!CV1="","",CHOOSE(WEEKDAY('ปฏิทิน'!CV1,2),"จ.","อ.","พ.","พฤ.","ศ.","ส.","อา."))</f>
        <v/>
      </c>
      <c r="CW7" s="661">
        <f>IF('ปฏิทิน'!CW1="","",CHOOSE(WEEKDAY('ปฏิทิน'!CW1,2),"จ.","อ.","พ.","พฤ.","ศ.","ส.","อา."))</f>
        <v/>
      </c>
      <c r="CX7" s="661">
        <f>IF('ปฏิทิน'!CX1="","",CHOOSE(WEEKDAY('ปฏิทิน'!CX1,2),"จ.","อ.","พ.","พฤ.","ศ.","ส.","อา."))</f>
        <v/>
      </c>
      <c r="CY7" s="662" t="n"/>
      <c r="DB7" s="660">
        <f>IF('ปฏิทิน'!DB1="","",CHOOSE(WEEKDAY('ปฏิทิน'!DB1,2),"จ.","อ.","พ.","พฤ.","ศ.","ส.","อา."))</f>
        <v/>
      </c>
      <c r="DC7" s="661">
        <f>IF('ปฏิทิน'!DC1="","",CHOOSE(WEEKDAY('ปฏิทิน'!DC1,2),"จ.","อ.","พ.","พฤ.","ศ.","ส.","อา."))</f>
        <v/>
      </c>
      <c r="DD7" s="661">
        <f>IF('ปฏิทิน'!DD1="","",CHOOSE(WEEKDAY('ปฏิทิน'!DD1,2),"จ.","อ.","พ.","พฤ.","ศ.","ส.","อา."))</f>
        <v/>
      </c>
      <c r="DE7" s="661">
        <f>IF('ปฏิทิน'!DE1="","",CHOOSE(WEEKDAY('ปฏิทิน'!DE1,2),"จ.","อ.","พ.","พฤ.","ศ.","ส.","อา."))</f>
        <v/>
      </c>
      <c r="DF7" s="661">
        <f>IF('ปฏิทิน'!DF1="","",CHOOSE(WEEKDAY('ปฏิทิน'!DF1,2),"จ.","อ.","พ.","พฤ.","ศ.","ส.","อา."))</f>
        <v/>
      </c>
      <c r="DG7" s="661">
        <f>IF('ปฏิทิน'!DG1="","",CHOOSE(WEEKDAY('ปฏิทิน'!DG1,2),"จ.","อ.","พ.","พฤ.","ศ.","ส.","อา."))</f>
        <v/>
      </c>
      <c r="DH7" s="661">
        <f>IF('ปฏิทิน'!DH1="","",CHOOSE(WEEKDAY('ปฏิทิน'!DH1,2),"จ.","อ.","พ.","พฤ.","ศ.","ส.","อา."))</f>
        <v/>
      </c>
      <c r="DI7" s="661">
        <f>IF('ปฏิทิน'!DI1="","",CHOOSE(WEEKDAY('ปฏิทิน'!DI1,2),"จ.","อ.","พ.","พฤ.","ศ.","ส.","อา."))</f>
        <v/>
      </c>
      <c r="DJ7" s="661">
        <f>IF('ปฏิทิน'!DJ1="","",CHOOSE(WEEKDAY('ปฏิทิน'!DJ1,2),"จ.","อ.","พ.","พฤ.","ศ.","ส.","อา."))</f>
        <v/>
      </c>
      <c r="DK7" s="661">
        <f>IF('ปฏิทิน'!DK1="","",CHOOSE(WEEKDAY('ปฏิทิน'!DK1,2),"จ.","อ.","พ.","พฤ.","ศ.","ส.","อา."))</f>
        <v/>
      </c>
      <c r="DL7" s="661">
        <f>IF('ปฏิทิน'!DL1="","",CHOOSE(WEEKDAY('ปฏิทิน'!DL1,2),"จ.","อ.","พ.","พฤ.","ศ.","ส.","อา."))</f>
        <v/>
      </c>
      <c r="DM7" s="661">
        <f>IF('ปฏิทิน'!DM1="","",CHOOSE(WEEKDAY('ปฏิทิน'!DM1,2),"จ.","อ.","พ.","พฤ.","ศ.","ส.","อา."))</f>
        <v/>
      </c>
      <c r="DN7" s="661">
        <f>IF('ปฏิทิน'!DN1="","",CHOOSE(WEEKDAY('ปฏิทิน'!DN1,2),"จ.","อ.","พ.","พฤ.","ศ.","ส.","อา."))</f>
        <v/>
      </c>
      <c r="DO7" s="661">
        <f>IF('ปฏิทิน'!DO1="","",CHOOSE(WEEKDAY('ปฏิทิน'!DO1,2),"จ.","อ.","พ.","พฤ.","ศ.","ส.","อา."))</f>
        <v/>
      </c>
      <c r="DP7" s="661">
        <f>IF('ปฏิทิน'!DP1="","",CHOOSE(WEEKDAY('ปฏิทิน'!DP1,2),"จ.","อ.","พ.","พฤ.","ศ.","ส.","อา."))</f>
        <v/>
      </c>
      <c r="DQ7" s="661">
        <f>IF('ปฏิทิน'!DQ1="","",CHOOSE(WEEKDAY('ปฏิทิน'!DQ1,2),"จ.","อ.","พ.","พฤ.","ศ.","ส.","อา."))</f>
        <v/>
      </c>
      <c r="DR7" s="661">
        <f>IF('ปฏิทิน'!DR1="","",CHOOSE(WEEKDAY('ปฏิทิน'!DR1,2),"จ.","อ.","พ.","พฤ.","ศ.","ส.","อา."))</f>
        <v/>
      </c>
      <c r="DS7" s="661">
        <f>IF('ปฏิทิน'!DS1="","",CHOOSE(WEEKDAY('ปฏิทิน'!DS1,2),"จ.","อ.","พ.","พฤ.","ศ.","ส.","อา."))</f>
        <v/>
      </c>
      <c r="DT7" s="661">
        <f>IF('ปฏิทิน'!DT1="","",CHOOSE(WEEKDAY('ปฏิทิน'!DT1,2),"จ.","อ.","พ.","พฤ.","ศ.","ส.","อา."))</f>
        <v/>
      </c>
      <c r="DU7" s="661">
        <f>IF('ปฏิทิน'!DU1="","",CHOOSE(WEEKDAY('ปฏิทิน'!DU1,2),"จ.","อ.","พ.","พฤ.","ศ.","ส.","อา."))</f>
        <v/>
      </c>
      <c r="DV7" s="661">
        <f>IF('ปฏิทิน'!DV1="","",CHOOSE(WEEKDAY('ปฏิทิน'!DV1,2),"จ.","อ.","พ.","พฤ.","ศ.","ส.","อา."))</f>
        <v/>
      </c>
      <c r="DW7" s="661">
        <f>IF('ปฏิทิน'!DW1="","",CHOOSE(WEEKDAY('ปฏิทิน'!DW1,2),"จ.","อ.","พ.","พฤ.","ศ.","ส.","อา."))</f>
        <v/>
      </c>
      <c r="DX7" s="661">
        <f>IF('ปฏิทิน'!DX1="","",CHOOSE(WEEKDAY('ปฏิทิน'!DX1,2),"จ.","อ.","พ.","พฤ.","ศ.","ส.","อา."))</f>
        <v/>
      </c>
      <c r="DY7" s="661">
        <f>IF('ปฏิทิน'!DY1="","",CHOOSE(WEEKDAY('ปฏิทิน'!DY1,2),"จ.","อ.","พ.","พฤ.","ศ.","ส.","อา."))</f>
        <v/>
      </c>
      <c r="DZ7" s="661">
        <f>IF('ปฏิทิน'!DZ1="","",CHOOSE(WEEKDAY('ปฏิทิน'!DZ1,2),"จ.","อ.","พ.","พฤ.","ศ.","ส.","อา."))</f>
        <v/>
      </c>
      <c r="EA7" s="661">
        <f>IF('ปฏิทิน'!EA1="","",CHOOSE(WEEKDAY('ปฏิทิน'!EA1,2),"จ.","อ.","พ.","พฤ.","ศ.","ส.","อา."))</f>
        <v/>
      </c>
      <c r="EB7" s="661">
        <f>IF('ปฏิทิน'!EB1="","",CHOOSE(WEEKDAY('ปฏิทิน'!EB1,2),"จ.","อ.","พ.","พฤ.","ศ.","ส.","อา."))</f>
        <v/>
      </c>
      <c r="EC7" s="661">
        <f>IF('ปฏิทิน'!EC1="","",CHOOSE(WEEKDAY('ปฏิทิน'!EC1,2),"จ.","อ.","พ.","พฤ.","ศ.","ส.","อา."))</f>
        <v/>
      </c>
      <c r="ED7" s="661">
        <f>IF('ปฏิทิน'!ED1="","",CHOOSE(WEEKDAY('ปฏิทิน'!ED1,2),"จ.","อ.","พ.","พฤ.","ศ.","ส.","อา."))</f>
        <v/>
      </c>
      <c r="EE7" s="661">
        <f>IF('ปฏิทิน'!EE1="","",CHOOSE(WEEKDAY('ปฏิทิน'!EE1,2),"จ.","อ.","พ.","พฤ.","ศ.","ส.","อา."))</f>
        <v/>
      </c>
      <c r="EF7" s="661">
        <f>IF('ปฏิทิน'!EF1="","",CHOOSE(WEEKDAY('ปฏิทิน'!EF1,2),"จ.","อ.","พ.","พฤ.","ศ.","ส.","อา."))</f>
        <v/>
      </c>
      <c r="EG7" s="662" t="n"/>
      <c r="EJ7" s="660">
        <f>IF('ปฏิทิน'!EJ1="","",CHOOSE(WEEKDAY('ปฏิทิน'!EJ1,2),"จ.","อ.","พ.","พฤ.","ศ.","ส.","อา."))</f>
        <v/>
      </c>
      <c r="EK7" s="661">
        <f>IF('ปฏิทิน'!EK1="","",CHOOSE(WEEKDAY('ปฏิทิน'!EK1,2),"จ.","อ.","พ.","พฤ.","ศ.","ส.","อา."))</f>
        <v/>
      </c>
      <c r="EL7" s="661">
        <f>IF('ปฏิทิน'!EL1="","",CHOOSE(WEEKDAY('ปฏิทิน'!EL1,2),"จ.","อ.","พ.","พฤ.","ศ.","ส.","อา."))</f>
        <v/>
      </c>
      <c r="EM7" s="661">
        <f>IF('ปฏิทิน'!EM1="","",CHOOSE(WEEKDAY('ปฏิทิน'!EM1,2),"จ.","อ.","พ.","พฤ.","ศ.","ส.","อา."))</f>
        <v/>
      </c>
      <c r="EN7" s="661">
        <f>IF('ปฏิทิน'!EN1="","",CHOOSE(WEEKDAY('ปฏิทิน'!EN1,2),"จ.","อ.","พ.","พฤ.","ศ.","ส.","อา."))</f>
        <v/>
      </c>
      <c r="EO7" s="661">
        <f>IF('ปฏิทิน'!EO1="","",CHOOSE(WEEKDAY('ปฏิทิน'!EO1,2),"จ.","อ.","พ.","พฤ.","ศ.","ส.","อา."))</f>
        <v/>
      </c>
      <c r="EP7" s="661">
        <f>IF('ปฏิทิน'!EP1="","",CHOOSE(WEEKDAY('ปฏิทิน'!EP1,2),"จ.","อ.","พ.","พฤ.","ศ.","ส.","อา."))</f>
        <v/>
      </c>
      <c r="EQ7" s="661">
        <f>IF('ปฏิทิน'!EQ1="","",CHOOSE(WEEKDAY('ปฏิทิน'!EQ1,2),"จ.","อ.","พ.","พฤ.","ศ.","ส.","อา."))</f>
        <v/>
      </c>
      <c r="ER7" s="661">
        <f>IF('ปฏิทิน'!ER1="","",CHOOSE(WEEKDAY('ปฏิทิน'!ER1,2),"จ.","อ.","พ.","พฤ.","ศ.","ส.","อา."))</f>
        <v/>
      </c>
      <c r="ES7" s="661">
        <f>IF('ปฏิทิน'!ES1="","",CHOOSE(WEEKDAY('ปฏิทิน'!ES1,2),"จ.","อ.","พ.","พฤ.","ศ.","ส.","อา."))</f>
        <v/>
      </c>
      <c r="ET7" s="661">
        <f>IF('ปฏิทิน'!ET1="","",CHOOSE(WEEKDAY('ปฏิทิน'!ET1,2),"จ.","อ.","พ.","พฤ.","ศ.","ส.","อา."))</f>
        <v/>
      </c>
      <c r="EU7" s="661">
        <f>IF('ปฏิทิน'!EU1="","",CHOOSE(WEEKDAY('ปฏิทิน'!EU1,2),"จ.","อ.","พ.","พฤ.","ศ.","ส.","อา."))</f>
        <v/>
      </c>
      <c r="EV7" s="661">
        <f>IF('ปฏิทิน'!EV1="","",CHOOSE(WEEKDAY('ปฏิทิน'!EV1,2),"จ.","อ.","พ.","พฤ.","ศ.","ส.","อา."))</f>
        <v/>
      </c>
      <c r="EW7" s="661">
        <f>IF('ปฏิทิน'!EW1="","",CHOOSE(WEEKDAY('ปฏิทิน'!EW1,2),"จ.","อ.","พ.","พฤ.","ศ.","ส.","อา."))</f>
        <v/>
      </c>
      <c r="EX7" s="661">
        <f>IF('ปฏิทิน'!EX1="","",CHOOSE(WEEKDAY('ปฏิทิน'!EX1,2),"จ.","อ.","พ.","พฤ.","ศ.","ส.","อา."))</f>
        <v/>
      </c>
      <c r="EY7" s="661">
        <f>IF('ปฏิทิน'!EY1="","",CHOOSE(WEEKDAY('ปฏิทิน'!EY1,2),"จ.","อ.","พ.","พฤ.","ศ.","ส.","อา."))</f>
        <v/>
      </c>
      <c r="EZ7" s="661">
        <f>IF('ปฏิทิน'!EZ1="","",CHOOSE(WEEKDAY('ปฏิทิน'!EZ1,2),"จ.","อ.","พ.","พฤ.","ศ.","ส.","อา."))</f>
        <v/>
      </c>
      <c r="FA7" s="661">
        <f>IF('ปฏิทิน'!FA1="","",CHOOSE(WEEKDAY('ปฏิทิน'!FA1,2),"จ.","อ.","พ.","พฤ.","ศ.","ส.","อา."))</f>
        <v/>
      </c>
      <c r="FB7" s="661">
        <f>IF('ปฏิทิน'!FB1="","",CHOOSE(WEEKDAY('ปฏิทิน'!FB1,2),"จ.","อ.","พ.","พฤ.","ศ.","ส.","อา."))</f>
        <v/>
      </c>
      <c r="FC7" s="661">
        <f>IF('ปฏิทิน'!FC1="","",CHOOSE(WEEKDAY('ปฏิทิน'!FC1,2),"จ.","อ.","พ.","พฤ.","ศ.","ส.","อา."))</f>
        <v/>
      </c>
      <c r="FD7" s="661">
        <f>IF('ปฏิทิน'!FD1="","",CHOOSE(WEEKDAY('ปฏิทิน'!FD1,2),"จ.","อ.","พ.","พฤ.","ศ.","ส.","อา."))</f>
        <v/>
      </c>
      <c r="FE7" s="661">
        <f>IF('ปฏิทิน'!FE1="","",CHOOSE(WEEKDAY('ปฏิทิน'!FE1,2),"จ.","อ.","พ.","พฤ.","ศ.","ส.","อา."))</f>
        <v/>
      </c>
      <c r="FF7" s="661">
        <f>IF('ปฏิทิน'!FF1="","",CHOOSE(WEEKDAY('ปฏิทิน'!FF1,2),"จ.","อ.","พ.","พฤ.","ศ.","ส.","อา."))</f>
        <v/>
      </c>
      <c r="FG7" s="661">
        <f>IF('ปฏิทิน'!FG1="","",CHOOSE(WEEKDAY('ปฏิทิน'!FG1,2),"จ.","อ.","พ.","พฤ.","ศ.","ส.","อา."))</f>
        <v/>
      </c>
      <c r="FH7" s="661">
        <f>IF('ปฏิทิน'!FH1="","",CHOOSE(WEEKDAY('ปฏิทิน'!FH1,2),"จ.","อ.","พ.","พฤ.","ศ.","ส.","อา."))</f>
        <v/>
      </c>
      <c r="FI7" s="661">
        <f>IF('ปฏิทิน'!FI1="","",CHOOSE(WEEKDAY('ปฏิทิน'!FI1,2),"จ.","อ.","พ.","พฤ.","ศ.","ส.","อา."))</f>
        <v/>
      </c>
      <c r="FJ7" s="661">
        <f>IF('ปฏิทิน'!FJ1="","",CHOOSE(WEEKDAY('ปฏิทิน'!FJ1,2),"จ.","อ.","พ.","พฤ.","ศ.","ส.","อา."))</f>
        <v/>
      </c>
      <c r="FK7" s="661">
        <f>IF('ปฏิทิน'!FK1="","",CHOOSE(WEEKDAY('ปฏิทิน'!FK1,2),"จ.","อ.","พ.","พฤ.","ศ.","ส.","อา."))</f>
        <v/>
      </c>
      <c r="FL7" s="661">
        <f>IF('ปฏิทิน'!FL1="","",CHOOSE(WEEKDAY('ปฏิทิน'!FL1,2),"จ.","อ.","พ.","พฤ.","ศ.","ส.","อา."))</f>
        <v/>
      </c>
      <c r="FM7" s="661">
        <f>IF('ปฏิทิน'!FM1="","",CHOOSE(WEEKDAY('ปฏิทิน'!FM1,2),"จ.","อ.","พ.","พฤ.","ศ.","ส.","อา."))</f>
        <v/>
      </c>
      <c r="FN7" s="661">
        <f>IF('ปฏิทิน'!FN1="","",CHOOSE(WEEKDAY('ปฏิทิน'!FN1,2),"จ.","อ.","พ.","พฤ.","ศ.","ส.","อา."))</f>
        <v/>
      </c>
      <c r="FO7" s="662" t="n"/>
      <c r="FR7" s="660">
        <f>IF('ปฏิทิน'!FR1="","",CHOOSE(WEEKDAY('ปฏิทิน'!FR1,2),"จ.","อ.","พ.","พฤ.","ศ.","ส.","อา."))</f>
        <v/>
      </c>
      <c r="FS7" s="661">
        <f>IF('ปฏิทิน'!FS1="","",CHOOSE(WEEKDAY('ปฏิทิน'!FS1,2),"จ.","อ.","พ.","พฤ.","ศ.","ส.","อา."))</f>
        <v/>
      </c>
      <c r="FT7" s="661">
        <f>IF('ปฏิทิน'!FT1="","",CHOOSE(WEEKDAY('ปฏิทิน'!FT1,2),"จ.","อ.","พ.","พฤ.","ศ.","ส.","อา."))</f>
        <v/>
      </c>
      <c r="FU7" s="661">
        <f>IF('ปฏิทิน'!FU1="","",CHOOSE(WEEKDAY('ปฏิทิน'!FU1,2),"จ.","อ.","พ.","พฤ.","ศ.","ส.","อา."))</f>
        <v/>
      </c>
      <c r="FV7" s="661">
        <f>IF('ปฏิทิน'!FV1="","",CHOOSE(WEEKDAY('ปฏิทิน'!FV1,2),"จ.","อ.","พ.","พฤ.","ศ.","ส.","อา."))</f>
        <v/>
      </c>
      <c r="FW7" s="661">
        <f>IF('ปฏิทิน'!FW1="","",CHOOSE(WEEKDAY('ปฏิทิน'!FW1,2),"จ.","อ.","พ.","พฤ.","ศ.","ส.","อา."))</f>
        <v/>
      </c>
      <c r="FX7" s="661">
        <f>IF('ปฏิทิน'!FX1="","",CHOOSE(WEEKDAY('ปฏิทิน'!FX1,2),"จ.","อ.","พ.","พฤ.","ศ.","ส.","อา."))</f>
        <v/>
      </c>
      <c r="FY7" s="661">
        <f>IF('ปฏิทิน'!FY1="","",CHOOSE(WEEKDAY('ปฏิทิน'!FY1,2),"จ.","อ.","พ.","พฤ.","ศ.","ส.","อา."))</f>
        <v/>
      </c>
      <c r="FZ7" s="661">
        <f>IF('ปฏิทิน'!FZ1="","",CHOOSE(WEEKDAY('ปฏิทิน'!FZ1,2),"จ.","อ.","พ.","พฤ.","ศ.","ส.","อา."))</f>
        <v/>
      </c>
      <c r="GA7" s="661">
        <f>IF('ปฏิทิน'!GA1="","",CHOOSE(WEEKDAY('ปฏิทิน'!GA1,2),"จ.","อ.","พ.","พฤ.","ศ.","ส.","อา."))</f>
        <v/>
      </c>
      <c r="GB7" s="661">
        <f>IF('ปฏิทิน'!GB1="","",CHOOSE(WEEKDAY('ปฏิทิน'!GB1,2),"จ.","อ.","พ.","พฤ.","ศ.","ส.","อา."))</f>
        <v/>
      </c>
      <c r="GC7" s="661">
        <f>IF('ปฏิทิน'!GC1="","",CHOOSE(WEEKDAY('ปฏิทิน'!GC1,2),"จ.","อ.","พ.","พฤ.","ศ.","ส.","อา."))</f>
        <v/>
      </c>
      <c r="GD7" s="661">
        <f>IF('ปฏิทิน'!GD1="","",CHOOSE(WEEKDAY('ปฏิทิน'!GD1,2),"จ.","อ.","พ.","พฤ.","ศ.","ส.","อา."))</f>
        <v/>
      </c>
      <c r="GE7" s="661">
        <f>IF('ปฏิทิน'!GE1="","",CHOOSE(WEEKDAY('ปฏิทิน'!GE1,2),"จ.","อ.","พ.","พฤ.","ศ.","ส.","อา."))</f>
        <v/>
      </c>
      <c r="GF7" s="661">
        <f>IF('ปฏิทิน'!GF1="","",CHOOSE(WEEKDAY('ปฏิทิน'!GF1,2),"จ.","อ.","พ.","พฤ.","ศ.","ส.","อา."))</f>
        <v/>
      </c>
      <c r="GG7" s="661">
        <f>IF('ปฏิทิน'!GG1="","",CHOOSE(WEEKDAY('ปฏิทิน'!GG1,2),"จ.","อ.","พ.","พฤ.","ศ.","ส.","อา."))</f>
        <v/>
      </c>
      <c r="GH7" s="661">
        <f>IF('ปฏิทิน'!GH1="","",CHOOSE(WEEKDAY('ปฏิทิน'!GH1,2),"จ.","อ.","พ.","พฤ.","ศ.","ส.","อา."))</f>
        <v/>
      </c>
      <c r="GI7" s="661">
        <f>IF('ปฏิทิน'!GI1="","",CHOOSE(WEEKDAY('ปฏิทิน'!GI1,2),"จ.","อ.","พ.","พฤ.","ศ.","ส.","อา."))</f>
        <v/>
      </c>
      <c r="GJ7" s="661">
        <f>IF('ปฏิทิน'!GJ1="","",CHOOSE(WEEKDAY('ปฏิทิน'!GJ1,2),"จ.","อ.","พ.","พฤ.","ศ.","ส.","อา."))</f>
        <v/>
      </c>
      <c r="GK7" s="661">
        <f>IF('ปฏิทิน'!GK1="","",CHOOSE(WEEKDAY('ปฏิทิน'!GK1,2),"จ.","อ.","พ.","พฤ.","ศ.","ส.","อา."))</f>
        <v/>
      </c>
      <c r="GL7" s="661">
        <f>IF('ปฏิทิน'!GL1="","",CHOOSE(WEEKDAY('ปฏิทิน'!GL1,2),"จ.","อ.","พ.","พฤ.","ศ.","ส.","อา."))</f>
        <v/>
      </c>
      <c r="GM7" s="661">
        <f>IF('ปฏิทิน'!GM1="","",CHOOSE(WEEKDAY('ปฏิทิน'!GM1,2),"จ.","อ.","พ.","พฤ.","ศ.","ส.","อา."))</f>
        <v/>
      </c>
      <c r="GN7" s="661">
        <f>IF('ปฏิทิน'!GN1="","",CHOOSE(WEEKDAY('ปฏิทิน'!GN1,2),"จ.","อ.","พ.","พฤ.","ศ.","ส.","อา."))</f>
        <v/>
      </c>
      <c r="GO7" s="661">
        <f>IF('ปฏิทิน'!GO1="","",CHOOSE(WEEKDAY('ปฏิทิน'!GO1,2),"จ.","อ.","พ.","พฤ.","ศ.","ส.","อา."))</f>
        <v/>
      </c>
      <c r="GP7" s="661">
        <f>IF('ปฏิทิน'!GP1="","",CHOOSE(WEEKDAY('ปฏิทิน'!GP1,2),"จ.","อ.","พ.","พฤ.","ศ.","ส.","อา."))</f>
        <v/>
      </c>
      <c r="GQ7" s="661">
        <f>IF('ปฏิทิน'!GQ1="","",CHOOSE(WEEKDAY('ปฏิทิน'!GQ1,2),"จ.","อ.","พ.","พฤ.","ศ.","ส.","อา."))</f>
        <v/>
      </c>
      <c r="GR7" s="661">
        <f>IF('ปฏิทิน'!GR1="","",CHOOSE(WEEKDAY('ปฏิทิน'!GR1,2),"จ.","อ.","พ.","พฤ.","ศ.","ส.","อา."))</f>
        <v/>
      </c>
      <c r="GS7" s="661">
        <f>IF('ปฏิทิน'!GS1="","",CHOOSE(WEEKDAY('ปฏิทิน'!GS1,2),"จ.","อ.","พ.","พฤ.","ศ.","ส.","อา."))</f>
        <v/>
      </c>
      <c r="GT7" s="661">
        <f>IF('ปฏิทิน'!GT1="","",CHOOSE(WEEKDAY('ปฏิทิน'!GT1,2),"จ.","อ.","พ.","พฤ.","ศ.","ส.","อา."))</f>
        <v/>
      </c>
      <c r="GU7" s="661">
        <f>IF('ปฏิทิน'!GU1="","",CHOOSE(WEEKDAY('ปฏิทิน'!GU1,2),"จ.","อ.","พ.","พฤ.","ศ.","ส.","อา."))</f>
        <v/>
      </c>
      <c r="GV7" s="661">
        <f>IF('ปฏิทิน'!GV1="","",CHOOSE(WEEKDAY('ปฏิทิน'!GV1,2),"จ.","อ.","พ.","พฤ.","ศ.","ส.","อา."))</f>
        <v/>
      </c>
      <c r="GW7" s="662" t="n"/>
    </row>
    <row r="8" ht="64" customHeight="1">
      <c r="D8" s="663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662" t="n"/>
      <c r="AL8" s="663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662" t="n"/>
      <c r="BT8" s="663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662" t="n"/>
      <c r="DB8" s="663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662" t="n"/>
      <c r="EJ8" s="663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662" t="n"/>
      <c r="FR8" s="663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662" t="n"/>
    </row>
    <row r="9">
      <c r="A9" s="218" t="n">
        <v>1</v>
      </c>
      <c r="B9" s="219">
        <f>'ข้อมูลนักเรียน'!T9</f>
        <v/>
      </c>
      <c r="C9" s="664" t="n"/>
      <c r="D9" s="66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66">
        <f>IF($B9="","",COUNTIF(D9:AH9,"✓"))</f>
        <v/>
      </c>
      <c r="AJ9" s="667">
        <f>IF($B9="","",COUNTIF(D9:AH9,"✗"))</f>
        <v/>
      </c>
      <c r="AK9" s="668">
        <f>IF($B9="","",IFERROR(ROUND(COUNTIF(D9:AH9,"✓")/(COUNTIF(D9:AH9,"✓")+COUNTIF(D9:AH9,"✗"))*100,0),""))</f>
        <v/>
      </c>
      <c r="AL9" s="66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66">
        <f>IF($B9="","",COUNTIF(AL9:BP9,"✓"))</f>
        <v/>
      </c>
      <c r="BR9" s="667">
        <f>IF($B9="","",COUNTIF(AL9:BP9,"✗"))</f>
        <v/>
      </c>
      <c r="BS9" s="668">
        <f>IF($B9="","",IFERROR(ROUND(COUNTIF(AL9:BP9,"✓")/(COUNTIF(AL9:BP9,"✓")+COUNTIF(AL9:BP9,"✗"))*100,0),""))</f>
        <v/>
      </c>
      <c r="BT9" s="66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66">
        <f>IF($B9="","",COUNTIF(BT9:CX9,"✓"))</f>
        <v/>
      </c>
      <c r="CZ9" s="667">
        <f>IF($B9="","",COUNTIF(BT9:CX9,"✗"))</f>
        <v/>
      </c>
      <c r="DA9" s="668">
        <f>IF($B9="","",IFERROR(ROUND(COUNTIF(BT9:CX9,"✓")/(COUNTIF(BT9:CX9,"✓")+COUNTIF(BT9:CX9,"✗"))*100,0),""))</f>
        <v/>
      </c>
      <c r="DB9" s="66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66">
        <f>IF($B9="","",COUNTIF(DB9:EF9,"✓"))</f>
        <v/>
      </c>
      <c r="EH9" s="667">
        <f>IF($B9="","",COUNTIF(DB9:EF9,"✗"))</f>
        <v/>
      </c>
      <c r="EI9" s="668">
        <f>IF($B9="","",IFERROR(ROUND(COUNTIF(DB9:EF9,"✓")/(COUNTIF(DB9:EF9,"✓")+COUNTIF(DB9:EF9,"✗"))*100,0),""))</f>
        <v/>
      </c>
      <c r="EJ9" s="66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66">
        <f>IF($B9="","",COUNTIF(EJ9:FN9,"✓"))</f>
        <v/>
      </c>
      <c r="FP9" s="667">
        <f>IF($B9="","",COUNTIF(EJ9:FN9,"✗"))</f>
        <v/>
      </c>
      <c r="FQ9" s="668">
        <f>IF($B9="","",IFERROR(ROUND(COUNTIF(EJ9:FN9,"✓")/(COUNTIF(EJ9:FN9,"✓")+COUNTIF(EJ9:FN9,"✗"))*100,0),""))</f>
        <v/>
      </c>
      <c r="FR9" s="665" t="n"/>
      <c r="FS9" s="244" t="n"/>
      <c r="FT9" s="244" t="n"/>
      <c r="FU9" s="244" t="n"/>
      <c r="FV9" s="244" t="n"/>
      <c r="FW9" s="244" t="n"/>
      <c r="FX9" s="244" t="n"/>
      <c r="FY9" s="244" t="n"/>
      <c r="FZ9" s="244" t="n"/>
      <c r="GA9" s="244" t="n"/>
      <c r="GB9" s="244" t="n"/>
      <c r="GC9" s="244" t="n"/>
      <c r="GD9" s="244" t="n"/>
      <c r="GE9" s="244" t="n"/>
      <c r="GF9" s="244" t="n"/>
      <c r="GG9" s="244" t="n"/>
      <c r="GH9" s="244" t="n"/>
      <c r="GI9" s="244" t="n"/>
      <c r="GJ9" s="244" t="n"/>
      <c r="GK9" s="244" t="n"/>
      <c r="GL9" s="244" t="n"/>
      <c r="GM9" s="244" t="n"/>
      <c r="GN9" s="244" t="n"/>
      <c r="GO9" s="244" t="n"/>
      <c r="GP9" s="244" t="n"/>
      <c r="GQ9" s="244" t="n"/>
      <c r="GR9" s="244" t="n"/>
      <c r="GS9" s="244" t="n"/>
      <c r="GT9" s="244" t="n"/>
      <c r="GU9" s="244" t="n"/>
      <c r="GV9" s="244" t="n"/>
      <c r="GW9" s="666">
        <f>IF($B9="","",COUNTIF(FR9:GV9,"✓"))</f>
        <v/>
      </c>
      <c r="GX9" s="667">
        <f>IF($B9="","",COUNTIF(FR9:GV9,"✗"))</f>
        <v/>
      </c>
      <c r="GY9" s="668">
        <f>IF($B9="","",IFERROR(ROUND(COUNTIF(FR9:GV9,"✓")/(COUNTIF(FR9:GV9,"✓")+COUNTIF(FR9:GV9,"✗"))*100,0),""))</f>
        <v/>
      </c>
    </row>
    <row r="10">
      <c r="A10" s="226" t="n">
        <v>2</v>
      </c>
      <c r="B10" s="227">
        <f>'ข้อมูลนักเรียน'!T10</f>
        <v/>
      </c>
      <c r="C10" s="664" t="n"/>
      <c r="D10" s="66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66">
        <f>IF($B10="","",COUNTIF(D10:AH10,"✓"))</f>
        <v/>
      </c>
      <c r="AJ10" s="667">
        <f>IF($B10="","",COUNTIF(D10:AH10,"✗"))</f>
        <v/>
      </c>
      <c r="AK10" s="668">
        <f>IF($B10="","",IFERROR(ROUND(COUNTIF(D10:AH10,"✓")/(COUNTIF(D10:AH10,"✓")+COUNTIF(D10:AH10,"✗"))*100,0),""))</f>
        <v/>
      </c>
      <c r="AL10" s="66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66">
        <f>IF($B10="","",COUNTIF(AL10:BP10,"✓"))</f>
        <v/>
      </c>
      <c r="BR10" s="667">
        <f>IF($B10="","",COUNTIF(AL10:BP10,"✗"))</f>
        <v/>
      </c>
      <c r="BS10" s="668">
        <f>IF($B10="","",IFERROR(ROUND(COUNTIF(AL10:BP10,"✓")/(COUNTIF(AL10:BP10,"✓")+COUNTIF(AL10:BP10,"✗"))*100,0),""))</f>
        <v/>
      </c>
      <c r="BT10" s="66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66">
        <f>IF($B10="","",COUNTIF(BT10:CX10,"✓"))</f>
        <v/>
      </c>
      <c r="CZ10" s="667">
        <f>IF($B10="","",COUNTIF(BT10:CX10,"✗"))</f>
        <v/>
      </c>
      <c r="DA10" s="668">
        <f>IF($B10="","",IFERROR(ROUND(COUNTIF(BT10:CX10,"✓")/(COUNTIF(BT10:CX10,"✓")+COUNTIF(BT10:CX10,"✗"))*100,0),""))</f>
        <v/>
      </c>
      <c r="DB10" s="66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66">
        <f>IF($B10="","",COUNTIF(DB10:EF10,"✓"))</f>
        <v/>
      </c>
      <c r="EH10" s="667">
        <f>IF($B10="","",COUNTIF(DB10:EF10,"✗"))</f>
        <v/>
      </c>
      <c r="EI10" s="668">
        <f>IF($B10="","",IFERROR(ROUND(COUNTIF(DB10:EF10,"✓")/(COUNTIF(DB10:EF10,"✓")+COUNTIF(DB10:EF10,"✗"))*100,0),""))</f>
        <v/>
      </c>
      <c r="EJ10" s="66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66">
        <f>IF($B10="","",COUNTIF(EJ10:FN10,"✓"))</f>
        <v/>
      </c>
      <c r="FP10" s="667">
        <f>IF($B10="","",COUNTIF(EJ10:FN10,"✗"))</f>
        <v/>
      </c>
      <c r="FQ10" s="668">
        <f>IF($B10="","",IFERROR(ROUND(COUNTIF(EJ10:FN10,"✓")/(COUNTIF(EJ10:FN10,"✓")+COUNTIF(EJ10:FN10,"✗"))*100,0),""))</f>
        <v/>
      </c>
      <c r="FR10" s="665" t="n"/>
      <c r="FS10" s="244" t="n"/>
      <c r="FT10" s="244" t="n"/>
      <c r="FU10" s="244" t="n"/>
      <c r="FV10" s="244" t="n"/>
      <c r="FW10" s="244" t="n"/>
      <c r="FX10" s="244" t="n"/>
      <c r="FY10" s="244" t="n"/>
      <c r="FZ10" s="244" t="n"/>
      <c r="GA10" s="244" t="n"/>
      <c r="GB10" s="244" t="n"/>
      <c r="GC10" s="244" t="n"/>
      <c r="GD10" s="244" t="n"/>
      <c r="GE10" s="244" t="n"/>
      <c r="GF10" s="244" t="n"/>
      <c r="GG10" s="244" t="n"/>
      <c r="GH10" s="244" t="n"/>
      <c r="GI10" s="244" t="n"/>
      <c r="GJ10" s="244" t="n"/>
      <c r="GK10" s="244" t="n"/>
      <c r="GL10" s="244" t="n"/>
      <c r="GM10" s="244" t="n"/>
      <c r="GN10" s="244" t="n"/>
      <c r="GO10" s="244" t="n"/>
      <c r="GP10" s="244" t="n"/>
      <c r="GQ10" s="244" t="n"/>
      <c r="GR10" s="244" t="n"/>
      <c r="GS10" s="244" t="n"/>
      <c r="GT10" s="244" t="n"/>
      <c r="GU10" s="244" t="n"/>
      <c r="GV10" s="244" t="n"/>
      <c r="GW10" s="666">
        <f>IF($B10="","",COUNTIF(FR10:GV10,"✓"))</f>
        <v/>
      </c>
      <c r="GX10" s="667">
        <f>IF($B10="","",COUNTIF(FR10:GV10,"✗"))</f>
        <v/>
      </c>
      <c r="GY10" s="668">
        <f>IF($B10="","",IFERROR(ROUND(COUNTIF(FR10:GV10,"✓")/(COUNTIF(FR10:GV10,"✓")+COUNTIF(FR10:GV10,"✗"))*100,0),""))</f>
        <v/>
      </c>
    </row>
    <row r="11">
      <c r="A11" s="218" t="n">
        <v>3</v>
      </c>
      <c r="B11" s="219">
        <f>'ข้อมูลนักเรียน'!T11</f>
        <v/>
      </c>
      <c r="C11" s="664" t="n"/>
      <c r="D11" s="66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66">
        <f>IF($B11="","",COUNTIF(D11:AH11,"✓"))</f>
        <v/>
      </c>
      <c r="AJ11" s="667">
        <f>IF($B11="","",COUNTIF(D11:AH11,"✗"))</f>
        <v/>
      </c>
      <c r="AK11" s="668">
        <f>IF($B11="","",IFERROR(ROUND(COUNTIF(D11:AH11,"✓")/(COUNTIF(D11:AH11,"✓")+COUNTIF(D11:AH11,"✗"))*100,0),""))</f>
        <v/>
      </c>
      <c r="AL11" s="66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66">
        <f>IF($B11="","",COUNTIF(AL11:BP11,"✓"))</f>
        <v/>
      </c>
      <c r="BR11" s="667">
        <f>IF($B11="","",COUNTIF(AL11:BP11,"✗"))</f>
        <v/>
      </c>
      <c r="BS11" s="668">
        <f>IF($B11="","",IFERROR(ROUND(COUNTIF(AL11:BP11,"✓")/(COUNTIF(AL11:BP11,"✓")+COUNTIF(AL11:BP11,"✗"))*100,0),""))</f>
        <v/>
      </c>
      <c r="BT11" s="66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66">
        <f>IF($B11="","",COUNTIF(BT11:CX11,"✓"))</f>
        <v/>
      </c>
      <c r="CZ11" s="667">
        <f>IF($B11="","",COUNTIF(BT11:CX11,"✗"))</f>
        <v/>
      </c>
      <c r="DA11" s="668">
        <f>IF($B11="","",IFERROR(ROUND(COUNTIF(BT11:CX11,"✓")/(COUNTIF(BT11:CX11,"✓")+COUNTIF(BT11:CX11,"✗"))*100,0),""))</f>
        <v/>
      </c>
      <c r="DB11" s="66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66">
        <f>IF($B11="","",COUNTIF(DB11:EF11,"✓"))</f>
        <v/>
      </c>
      <c r="EH11" s="667">
        <f>IF($B11="","",COUNTIF(DB11:EF11,"✗"))</f>
        <v/>
      </c>
      <c r="EI11" s="668">
        <f>IF($B11="","",IFERROR(ROUND(COUNTIF(DB11:EF11,"✓")/(COUNTIF(DB11:EF11,"✓")+COUNTIF(DB11:EF11,"✗"))*100,0),""))</f>
        <v/>
      </c>
      <c r="EJ11" s="66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66">
        <f>IF($B11="","",COUNTIF(EJ11:FN11,"✓"))</f>
        <v/>
      </c>
      <c r="FP11" s="667">
        <f>IF($B11="","",COUNTIF(EJ11:FN11,"✗"))</f>
        <v/>
      </c>
      <c r="FQ11" s="668">
        <f>IF($B11="","",IFERROR(ROUND(COUNTIF(EJ11:FN11,"✓")/(COUNTIF(EJ11:FN11,"✓")+COUNTIF(EJ11:FN11,"✗"))*100,0),""))</f>
        <v/>
      </c>
      <c r="FR11" s="665" t="n"/>
      <c r="FS11" s="244" t="n"/>
      <c r="FT11" s="244" t="n"/>
      <c r="FU11" s="244" t="n"/>
      <c r="FV11" s="244" t="n"/>
      <c r="FW11" s="244" t="n"/>
      <c r="FX11" s="244" t="n"/>
      <c r="FY11" s="244" t="n"/>
      <c r="FZ11" s="244" t="n"/>
      <c r="GA11" s="244" t="n"/>
      <c r="GB11" s="244" t="n"/>
      <c r="GC11" s="244" t="n"/>
      <c r="GD11" s="244" t="n"/>
      <c r="GE11" s="244" t="n"/>
      <c r="GF11" s="244" t="n"/>
      <c r="GG11" s="244" t="n"/>
      <c r="GH11" s="244" t="n"/>
      <c r="GI11" s="244" t="n"/>
      <c r="GJ11" s="244" t="n"/>
      <c r="GK11" s="244" t="n"/>
      <c r="GL11" s="244" t="n"/>
      <c r="GM11" s="244" t="n"/>
      <c r="GN11" s="244" t="n"/>
      <c r="GO11" s="244" t="n"/>
      <c r="GP11" s="244" t="n"/>
      <c r="GQ11" s="244" t="n"/>
      <c r="GR11" s="244" t="n"/>
      <c r="GS11" s="244" t="n"/>
      <c r="GT11" s="244" t="n"/>
      <c r="GU11" s="244" t="n"/>
      <c r="GV11" s="244" t="n"/>
      <c r="GW11" s="666">
        <f>IF($B11="","",COUNTIF(FR11:GV11,"✓"))</f>
        <v/>
      </c>
      <c r="GX11" s="667">
        <f>IF($B11="","",COUNTIF(FR11:GV11,"✗"))</f>
        <v/>
      </c>
      <c r="GY11" s="668">
        <f>IF($B11="","",IFERROR(ROUND(COUNTIF(FR11:GV11,"✓")/(COUNTIF(FR11:GV11,"✓")+COUNTIF(FR11:GV11,"✗"))*100,0),""))</f>
        <v/>
      </c>
    </row>
    <row r="12">
      <c r="A12" s="226" t="n">
        <v>4</v>
      </c>
      <c r="B12" s="227">
        <f>'ข้อมูลนักเรียน'!T12</f>
        <v/>
      </c>
      <c r="C12" s="664" t="n"/>
      <c r="D12" s="66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66">
        <f>IF($B12="","",COUNTIF(D12:AH12,"✓"))</f>
        <v/>
      </c>
      <c r="AJ12" s="667">
        <f>IF($B12="","",COUNTIF(D12:AH12,"✗"))</f>
        <v/>
      </c>
      <c r="AK12" s="668">
        <f>IF($B12="","",IFERROR(ROUND(COUNTIF(D12:AH12,"✓")/(COUNTIF(D12:AH12,"✓")+COUNTIF(D12:AH12,"✗"))*100,0),""))</f>
        <v/>
      </c>
      <c r="AL12" s="66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66">
        <f>IF($B12="","",COUNTIF(AL12:BP12,"✓"))</f>
        <v/>
      </c>
      <c r="BR12" s="667">
        <f>IF($B12="","",COUNTIF(AL12:BP12,"✗"))</f>
        <v/>
      </c>
      <c r="BS12" s="668">
        <f>IF($B12="","",IFERROR(ROUND(COUNTIF(AL12:BP12,"✓")/(COUNTIF(AL12:BP12,"✓")+COUNTIF(AL12:BP12,"✗"))*100,0),""))</f>
        <v/>
      </c>
      <c r="BT12" s="66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66">
        <f>IF($B12="","",COUNTIF(BT12:CX12,"✓"))</f>
        <v/>
      </c>
      <c r="CZ12" s="667">
        <f>IF($B12="","",COUNTIF(BT12:CX12,"✗"))</f>
        <v/>
      </c>
      <c r="DA12" s="668">
        <f>IF($B12="","",IFERROR(ROUND(COUNTIF(BT12:CX12,"✓")/(COUNTIF(BT12:CX12,"✓")+COUNTIF(BT12:CX12,"✗"))*100,0),""))</f>
        <v/>
      </c>
      <c r="DB12" s="66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66">
        <f>IF($B12="","",COUNTIF(DB12:EF12,"✓"))</f>
        <v/>
      </c>
      <c r="EH12" s="667">
        <f>IF($B12="","",COUNTIF(DB12:EF12,"✗"))</f>
        <v/>
      </c>
      <c r="EI12" s="668">
        <f>IF($B12="","",IFERROR(ROUND(COUNTIF(DB12:EF12,"✓")/(COUNTIF(DB12:EF12,"✓")+COUNTIF(DB12:EF12,"✗"))*100,0),""))</f>
        <v/>
      </c>
      <c r="EJ12" s="66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66">
        <f>IF($B12="","",COUNTIF(EJ12:FN12,"✓"))</f>
        <v/>
      </c>
      <c r="FP12" s="667">
        <f>IF($B12="","",COUNTIF(EJ12:FN12,"✗"))</f>
        <v/>
      </c>
      <c r="FQ12" s="668">
        <f>IF($B12="","",IFERROR(ROUND(COUNTIF(EJ12:FN12,"✓")/(COUNTIF(EJ12:FN12,"✓")+COUNTIF(EJ12:FN12,"✗"))*100,0),""))</f>
        <v/>
      </c>
      <c r="FR12" s="665" t="n"/>
      <c r="FS12" s="244" t="n"/>
      <c r="FT12" s="244" t="n"/>
      <c r="FU12" s="244" t="n"/>
      <c r="FV12" s="244" t="n"/>
      <c r="FW12" s="244" t="n"/>
      <c r="FX12" s="244" t="n"/>
      <c r="FY12" s="244" t="n"/>
      <c r="FZ12" s="244" t="n"/>
      <c r="GA12" s="244" t="n"/>
      <c r="GB12" s="244" t="n"/>
      <c r="GC12" s="244" t="n"/>
      <c r="GD12" s="244" t="n"/>
      <c r="GE12" s="244" t="n"/>
      <c r="GF12" s="244" t="n"/>
      <c r="GG12" s="244" t="n"/>
      <c r="GH12" s="244" t="n"/>
      <c r="GI12" s="244" t="n"/>
      <c r="GJ12" s="244" t="n"/>
      <c r="GK12" s="244" t="n"/>
      <c r="GL12" s="244" t="n"/>
      <c r="GM12" s="244" t="n"/>
      <c r="GN12" s="244" t="n"/>
      <c r="GO12" s="244" t="n"/>
      <c r="GP12" s="244" t="n"/>
      <c r="GQ12" s="244" t="n"/>
      <c r="GR12" s="244" t="n"/>
      <c r="GS12" s="244" t="n"/>
      <c r="GT12" s="244" t="n"/>
      <c r="GU12" s="244" t="n"/>
      <c r="GV12" s="244" t="n"/>
      <c r="GW12" s="666">
        <f>IF($B12="","",COUNTIF(FR12:GV12,"✓"))</f>
        <v/>
      </c>
      <c r="GX12" s="667">
        <f>IF($B12="","",COUNTIF(FR12:GV12,"✗"))</f>
        <v/>
      </c>
      <c r="GY12" s="668">
        <f>IF($B12="","",IFERROR(ROUND(COUNTIF(FR12:GV12,"✓")/(COUNTIF(FR12:GV12,"✓")+COUNTIF(FR12:GV12,"✗"))*100,0),""))</f>
        <v/>
      </c>
    </row>
    <row r="13">
      <c r="A13" s="218" t="n">
        <v>5</v>
      </c>
      <c r="B13" s="219">
        <f>'ข้อมูลนักเรียน'!T13</f>
        <v/>
      </c>
      <c r="C13" s="664" t="n"/>
      <c r="D13" s="66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66">
        <f>IF($B13="","",COUNTIF(D13:AH13,"✓"))</f>
        <v/>
      </c>
      <c r="AJ13" s="667">
        <f>IF($B13="","",COUNTIF(D13:AH13,"✗"))</f>
        <v/>
      </c>
      <c r="AK13" s="668">
        <f>IF($B13="","",IFERROR(ROUND(COUNTIF(D13:AH13,"✓")/(COUNTIF(D13:AH13,"✓")+COUNTIF(D13:AH13,"✗"))*100,0),""))</f>
        <v/>
      </c>
      <c r="AL13" s="66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66">
        <f>IF($B13="","",COUNTIF(AL13:BP13,"✓"))</f>
        <v/>
      </c>
      <c r="BR13" s="667">
        <f>IF($B13="","",COUNTIF(AL13:BP13,"✗"))</f>
        <v/>
      </c>
      <c r="BS13" s="668">
        <f>IF($B13="","",IFERROR(ROUND(COUNTIF(AL13:BP13,"✓")/(COUNTIF(AL13:BP13,"✓")+COUNTIF(AL13:BP13,"✗"))*100,0),""))</f>
        <v/>
      </c>
      <c r="BT13" s="66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66">
        <f>IF($B13="","",COUNTIF(BT13:CX13,"✓"))</f>
        <v/>
      </c>
      <c r="CZ13" s="667">
        <f>IF($B13="","",COUNTIF(BT13:CX13,"✗"))</f>
        <v/>
      </c>
      <c r="DA13" s="668">
        <f>IF($B13="","",IFERROR(ROUND(COUNTIF(BT13:CX13,"✓")/(COUNTIF(BT13:CX13,"✓")+COUNTIF(BT13:CX13,"✗"))*100,0),""))</f>
        <v/>
      </c>
      <c r="DB13" s="66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66">
        <f>IF($B13="","",COUNTIF(DB13:EF13,"✓"))</f>
        <v/>
      </c>
      <c r="EH13" s="667">
        <f>IF($B13="","",COUNTIF(DB13:EF13,"✗"))</f>
        <v/>
      </c>
      <c r="EI13" s="668">
        <f>IF($B13="","",IFERROR(ROUND(COUNTIF(DB13:EF13,"✓")/(COUNTIF(DB13:EF13,"✓")+COUNTIF(DB13:EF13,"✗"))*100,0),""))</f>
        <v/>
      </c>
      <c r="EJ13" s="66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66">
        <f>IF($B13="","",COUNTIF(EJ13:FN13,"✓"))</f>
        <v/>
      </c>
      <c r="FP13" s="667">
        <f>IF($B13="","",COUNTIF(EJ13:FN13,"✗"))</f>
        <v/>
      </c>
      <c r="FQ13" s="668">
        <f>IF($B13="","",IFERROR(ROUND(COUNTIF(EJ13:FN13,"✓")/(COUNTIF(EJ13:FN13,"✓")+COUNTIF(EJ13:FN13,"✗"))*100,0),""))</f>
        <v/>
      </c>
      <c r="FR13" s="665" t="n"/>
      <c r="FS13" s="244" t="n"/>
      <c r="FT13" s="244" t="n"/>
      <c r="FU13" s="244" t="n"/>
      <c r="FV13" s="244" t="n"/>
      <c r="FW13" s="244" t="n"/>
      <c r="FX13" s="244" t="n"/>
      <c r="FY13" s="244" t="n"/>
      <c r="FZ13" s="244" t="n"/>
      <c r="GA13" s="244" t="n"/>
      <c r="GB13" s="244" t="n"/>
      <c r="GC13" s="244" t="n"/>
      <c r="GD13" s="244" t="n"/>
      <c r="GE13" s="244" t="n"/>
      <c r="GF13" s="244" t="n"/>
      <c r="GG13" s="244" t="n"/>
      <c r="GH13" s="244" t="n"/>
      <c r="GI13" s="244" t="n"/>
      <c r="GJ13" s="244" t="n"/>
      <c r="GK13" s="244" t="n"/>
      <c r="GL13" s="244" t="n"/>
      <c r="GM13" s="244" t="n"/>
      <c r="GN13" s="244" t="n"/>
      <c r="GO13" s="244" t="n"/>
      <c r="GP13" s="244" t="n"/>
      <c r="GQ13" s="244" t="n"/>
      <c r="GR13" s="244" t="n"/>
      <c r="GS13" s="244" t="n"/>
      <c r="GT13" s="244" t="n"/>
      <c r="GU13" s="244" t="n"/>
      <c r="GV13" s="244" t="n"/>
      <c r="GW13" s="666">
        <f>IF($B13="","",COUNTIF(FR13:GV13,"✓"))</f>
        <v/>
      </c>
      <c r="GX13" s="667">
        <f>IF($B13="","",COUNTIF(FR13:GV13,"✗"))</f>
        <v/>
      </c>
      <c r="GY13" s="668">
        <f>IF($B13="","",IFERROR(ROUND(COUNTIF(FR13:GV13,"✓")/(COUNTIF(FR13:GV13,"✓")+COUNTIF(FR13:GV13,"✗"))*100,0),""))</f>
        <v/>
      </c>
    </row>
    <row r="14">
      <c r="A14" s="669" t="inlineStr">
        <is>
          <t>ปฏิบัติ (คน)</t>
        </is>
      </c>
      <c r="B14" s="184" t="n"/>
      <c r="C14" s="184" t="n"/>
      <c r="D14" s="670">
        <f>IF(D$4&lt;&gt;1,"",COUNTIF(D9:D13,"✓"))</f>
        <v/>
      </c>
      <c r="E14" s="671">
        <f>IF(E$4&lt;&gt;1,"",COUNTIF(E9:E13,"✓"))</f>
        <v/>
      </c>
      <c r="F14" s="671">
        <f>IF(F$4&lt;&gt;1,"",COUNTIF(F9:F13,"✓"))</f>
        <v/>
      </c>
      <c r="G14" s="671">
        <f>IF(G$4&lt;&gt;1,"",COUNTIF(G9:G13,"✓"))</f>
        <v/>
      </c>
      <c r="H14" s="671">
        <f>IF(H$4&lt;&gt;1,"",COUNTIF(H9:H13,"✓"))</f>
        <v/>
      </c>
      <c r="I14" s="671">
        <f>IF(I$4&lt;&gt;1,"",COUNTIF(I9:I13,"✓"))</f>
        <v/>
      </c>
      <c r="J14" s="671">
        <f>IF(J$4&lt;&gt;1,"",COUNTIF(J9:J13,"✓"))</f>
        <v/>
      </c>
      <c r="K14" s="671">
        <f>IF(K$4&lt;&gt;1,"",COUNTIF(K9:K13,"✓"))</f>
        <v/>
      </c>
      <c r="L14" s="671">
        <f>IF(L$4&lt;&gt;1,"",COUNTIF(L9:L13,"✓"))</f>
        <v/>
      </c>
      <c r="M14" s="671">
        <f>IF(M$4&lt;&gt;1,"",COUNTIF(M9:M13,"✓"))</f>
        <v/>
      </c>
      <c r="N14" s="671">
        <f>IF(N$4&lt;&gt;1,"",COUNTIF(N9:N13,"✓"))</f>
        <v/>
      </c>
      <c r="O14" s="671">
        <f>IF(O$4&lt;&gt;1,"",COUNTIF(O9:O13,"✓"))</f>
        <v/>
      </c>
      <c r="P14" s="671">
        <f>IF(P$4&lt;&gt;1,"",COUNTIF(P9:P13,"✓"))</f>
        <v/>
      </c>
      <c r="Q14" s="671">
        <f>IF(Q$4&lt;&gt;1,"",COUNTIF(Q9:Q13,"✓"))</f>
        <v/>
      </c>
      <c r="R14" s="671">
        <f>IF(R$4&lt;&gt;1,"",COUNTIF(R9:R13,"✓"))</f>
        <v/>
      </c>
      <c r="S14" s="671">
        <f>IF(S$4&lt;&gt;1,"",COUNTIF(S9:S13,"✓"))</f>
        <v/>
      </c>
      <c r="T14" s="671">
        <f>IF(T$4&lt;&gt;1,"",COUNTIF(T9:T13,"✓"))</f>
        <v/>
      </c>
      <c r="U14" s="671">
        <f>IF(U$4&lt;&gt;1,"",COUNTIF(U9:U13,"✓"))</f>
        <v/>
      </c>
      <c r="V14" s="671">
        <f>IF(V$4&lt;&gt;1,"",COUNTIF(V9:V13,"✓"))</f>
        <v/>
      </c>
      <c r="W14" s="671">
        <f>IF(W$4&lt;&gt;1,"",COUNTIF(W9:W13,"✓"))</f>
        <v/>
      </c>
      <c r="X14" s="671">
        <f>IF(X$4&lt;&gt;1,"",COUNTIF(X9:X13,"✓"))</f>
        <v/>
      </c>
      <c r="Y14" s="671">
        <f>IF(Y$4&lt;&gt;1,"",COUNTIF(Y9:Y13,"✓"))</f>
        <v/>
      </c>
      <c r="Z14" s="671">
        <f>IF(Z$4&lt;&gt;1,"",COUNTIF(Z9:Z13,"✓"))</f>
        <v/>
      </c>
      <c r="AA14" s="671">
        <f>IF(AA$4&lt;&gt;1,"",COUNTIF(AA9:AA13,"✓"))</f>
        <v/>
      </c>
      <c r="AB14" s="671">
        <f>IF(AB$4&lt;&gt;1,"",COUNTIF(AB9:AB13,"✓"))</f>
        <v/>
      </c>
      <c r="AC14" s="671">
        <f>IF(AC$4&lt;&gt;1,"",COUNTIF(AC9:AC13,"✓"))</f>
        <v/>
      </c>
      <c r="AD14" s="671">
        <f>IF(AD$4&lt;&gt;1,"",COUNTIF(AD9:AD13,"✓"))</f>
        <v/>
      </c>
      <c r="AE14" s="671">
        <f>IF(AE$4&lt;&gt;1,"",COUNTIF(AE9:AE13,"✓"))</f>
        <v/>
      </c>
      <c r="AF14" s="671">
        <f>IF(AF$4&lt;&gt;1,"",COUNTIF(AF9:AF13,"✓"))</f>
        <v/>
      </c>
      <c r="AG14" s="671">
        <f>IF(AG$4&lt;&gt;1,"",COUNTIF(AG9:AG13,"✓"))</f>
        <v/>
      </c>
      <c r="AH14" s="671">
        <f>IF(AH$4&lt;&gt;1,"",COUNTIF(AH9:AH13,"✓"))</f>
        <v/>
      </c>
      <c r="AI14" s="672">
        <f>SUM(AI9:AI13)</f>
        <v/>
      </c>
      <c r="AJ14" s="673">
        <f>SUM(AJ9:AJ13)</f>
        <v/>
      </c>
      <c r="AK14" s="674">
        <f>IFERROR(AVERAGE(AK9:AK13),"")</f>
        <v/>
      </c>
      <c r="AL14" s="670">
        <f>IF(AL$4&lt;&gt;1,"",COUNTIF(AL9:AL13,"✓"))</f>
        <v/>
      </c>
      <c r="AM14" s="671">
        <f>IF(AM$4&lt;&gt;1,"",COUNTIF(AM9:AM13,"✓"))</f>
        <v/>
      </c>
      <c r="AN14" s="671">
        <f>IF(AN$4&lt;&gt;1,"",COUNTIF(AN9:AN13,"✓"))</f>
        <v/>
      </c>
      <c r="AO14" s="671">
        <f>IF(AO$4&lt;&gt;1,"",COUNTIF(AO9:AO13,"✓"))</f>
        <v/>
      </c>
      <c r="AP14" s="671">
        <f>IF(AP$4&lt;&gt;1,"",COUNTIF(AP9:AP13,"✓"))</f>
        <v/>
      </c>
      <c r="AQ14" s="671">
        <f>IF(AQ$4&lt;&gt;1,"",COUNTIF(AQ9:AQ13,"✓"))</f>
        <v/>
      </c>
      <c r="AR14" s="671">
        <f>IF(AR$4&lt;&gt;1,"",COUNTIF(AR9:AR13,"✓"))</f>
        <v/>
      </c>
      <c r="AS14" s="671">
        <f>IF(AS$4&lt;&gt;1,"",COUNTIF(AS9:AS13,"✓"))</f>
        <v/>
      </c>
      <c r="AT14" s="671">
        <f>IF(AT$4&lt;&gt;1,"",COUNTIF(AT9:AT13,"✓"))</f>
        <v/>
      </c>
      <c r="AU14" s="671">
        <f>IF(AU$4&lt;&gt;1,"",COUNTIF(AU9:AU13,"✓"))</f>
        <v/>
      </c>
      <c r="AV14" s="671">
        <f>IF(AV$4&lt;&gt;1,"",COUNTIF(AV9:AV13,"✓"))</f>
        <v/>
      </c>
      <c r="AW14" s="671">
        <f>IF(AW$4&lt;&gt;1,"",COUNTIF(AW9:AW13,"✓"))</f>
        <v/>
      </c>
      <c r="AX14" s="671">
        <f>IF(AX$4&lt;&gt;1,"",COUNTIF(AX9:AX13,"✓"))</f>
        <v/>
      </c>
      <c r="AY14" s="671">
        <f>IF(AY$4&lt;&gt;1,"",COUNTIF(AY9:AY13,"✓"))</f>
        <v/>
      </c>
      <c r="AZ14" s="671">
        <f>IF(AZ$4&lt;&gt;1,"",COUNTIF(AZ9:AZ13,"✓"))</f>
        <v/>
      </c>
      <c r="BA14" s="671">
        <f>IF(BA$4&lt;&gt;1,"",COUNTIF(BA9:BA13,"✓"))</f>
        <v/>
      </c>
      <c r="BB14" s="671">
        <f>IF(BB$4&lt;&gt;1,"",COUNTIF(BB9:BB13,"✓"))</f>
        <v/>
      </c>
      <c r="BC14" s="671">
        <f>IF(BC$4&lt;&gt;1,"",COUNTIF(BC9:BC13,"✓"))</f>
        <v/>
      </c>
      <c r="BD14" s="671">
        <f>IF(BD$4&lt;&gt;1,"",COUNTIF(BD9:BD13,"✓"))</f>
        <v/>
      </c>
      <c r="BE14" s="671">
        <f>IF(BE$4&lt;&gt;1,"",COUNTIF(BE9:BE13,"✓"))</f>
        <v/>
      </c>
      <c r="BF14" s="671">
        <f>IF(BF$4&lt;&gt;1,"",COUNTIF(BF9:BF13,"✓"))</f>
        <v/>
      </c>
      <c r="BG14" s="671">
        <f>IF(BG$4&lt;&gt;1,"",COUNTIF(BG9:BG13,"✓"))</f>
        <v/>
      </c>
      <c r="BH14" s="671">
        <f>IF(BH$4&lt;&gt;1,"",COUNTIF(BH9:BH13,"✓"))</f>
        <v/>
      </c>
      <c r="BI14" s="671">
        <f>IF(BI$4&lt;&gt;1,"",COUNTIF(BI9:BI13,"✓"))</f>
        <v/>
      </c>
      <c r="BJ14" s="671">
        <f>IF(BJ$4&lt;&gt;1,"",COUNTIF(BJ9:BJ13,"✓"))</f>
        <v/>
      </c>
      <c r="BK14" s="671">
        <f>IF(BK$4&lt;&gt;1,"",COUNTIF(BK9:BK13,"✓"))</f>
        <v/>
      </c>
      <c r="BL14" s="671">
        <f>IF(BL$4&lt;&gt;1,"",COUNTIF(BL9:BL13,"✓"))</f>
        <v/>
      </c>
      <c r="BM14" s="671">
        <f>IF(BM$4&lt;&gt;1,"",COUNTIF(BM9:BM13,"✓"))</f>
        <v/>
      </c>
      <c r="BN14" s="671">
        <f>IF(BN$4&lt;&gt;1,"",COUNTIF(BN9:BN13,"✓"))</f>
        <v/>
      </c>
      <c r="BO14" s="671">
        <f>IF(BO$4&lt;&gt;1,"",COUNTIF(BO9:BO13,"✓"))</f>
        <v/>
      </c>
      <c r="BP14" s="671">
        <f>IF(BP$4&lt;&gt;1,"",COUNTIF(BP9:BP13,"✓"))</f>
        <v/>
      </c>
      <c r="BQ14" s="672">
        <f>SUM(BQ9:BQ13)</f>
        <v/>
      </c>
      <c r="BR14" s="673">
        <f>SUM(BR9:BR13)</f>
        <v/>
      </c>
      <c r="BS14" s="674">
        <f>IFERROR(AVERAGE(BS9:BS13),"")</f>
        <v/>
      </c>
      <c r="BT14" s="670">
        <f>IF(BT$4&lt;&gt;1,"",COUNTIF(BT9:BT13,"✓"))</f>
        <v/>
      </c>
      <c r="BU14" s="671">
        <f>IF(BU$4&lt;&gt;1,"",COUNTIF(BU9:BU13,"✓"))</f>
        <v/>
      </c>
      <c r="BV14" s="671">
        <f>IF(BV$4&lt;&gt;1,"",COUNTIF(BV9:BV13,"✓"))</f>
        <v/>
      </c>
      <c r="BW14" s="671">
        <f>IF(BW$4&lt;&gt;1,"",COUNTIF(BW9:BW13,"✓"))</f>
        <v/>
      </c>
      <c r="BX14" s="671">
        <f>IF(BX$4&lt;&gt;1,"",COUNTIF(BX9:BX13,"✓"))</f>
        <v/>
      </c>
      <c r="BY14" s="671">
        <f>IF(BY$4&lt;&gt;1,"",COUNTIF(BY9:BY13,"✓"))</f>
        <v/>
      </c>
      <c r="BZ14" s="671">
        <f>IF(BZ$4&lt;&gt;1,"",COUNTIF(BZ9:BZ13,"✓"))</f>
        <v/>
      </c>
      <c r="CA14" s="671">
        <f>IF(CA$4&lt;&gt;1,"",COUNTIF(CA9:CA13,"✓"))</f>
        <v/>
      </c>
      <c r="CB14" s="671">
        <f>IF(CB$4&lt;&gt;1,"",COUNTIF(CB9:CB13,"✓"))</f>
        <v/>
      </c>
      <c r="CC14" s="671">
        <f>IF(CC$4&lt;&gt;1,"",COUNTIF(CC9:CC13,"✓"))</f>
        <v/>
      </c>
      <c r="CD14" s="671">
        <f>IF(CD$4&lt;&gt;1,"",COUNTIF(CD9:CD13,"✓"))</f>
        <v/>
      </c>
      <c r="CE14" s="671">
        <f>IF(CE$4&lt;&gt;1,"",COUNTIF(CE9:CE13,"✓"))</f>
        <v/>
      </c>
      <c r="CF14" s="671">
        <f>IF(CF$4&lt;&gt;1,"",COUNTIF(CF9:CF13,"✓"))</f>
        <v/>
      </c>
      <c r="CG14" s="671">
        <f>IF(CG$4&lt;&gt;1,"",COUNTIF(CG9:CG13,"✓"))</f>
        <v/>
      </c>
      <c r="CH14" s="671">
        <f>IF(CH$4&lt;&gt;1,"",COUNTIF(CH9:CH13,"✓"))</f>
        <v/>
      </c>
      <c r="CI14" s="671">
        <f>IF(CI$4&lt;&gt;1,"",COUNTIF(CI9:CI13,"✓"))</f>
        <v/>
      </c>
      <c r="CJ14" s="671">
        <f>IF(CJ$4&lt;&gt;1,"",COUNTIF(CJ9:CJ13,"✓"))</f>
        <v/>
      </c>
      <c r="CK14" s="671">
        <f>IF(CK$4&lt;&gt;1,"",COUNTIF(CK9:CK13,"✓"))</f>
        <v/>
      </c>
      <c r="CL14" s="671">
        <f>IF(CL$4&lt;&gt;1,"",COUNTIF(CL9:CL13,"✓"))</f>
        <v/>
      </c>
      <c r="CM14" s="671">
        <f>IF(CM$4&lt;&gt;1,"",COUNTIF(CM9:CM13,"✓"))</f>
        <v/>
      </c>
      <c r="CN14" s="671">
        <f>IF(CN$4&lt;&gt;1,"",COUNTIF(CN9:CN13,"✓"))</f>
        <v/>
      </c>
      <c r="CO14" s="671">
        <f>IF(CO$4&lt;&gt;1,"",COUNTIF(CO9:CO13,"✓"))</f>
        <v/>
      </c>
      <c r="CP14" s="671">
        <f>IF(CP$4&lt;&gt;1,"",COUNTIF(CP9:CP13,"✓"))</f>
        <v/>
      </c>
      <c r="CQ14" s="671">
        <f>IF(CQ$4&lt;&gt;1,"",COUNTIF(CQ9:CQ13,"✓"))</f>
        <v/>
      </c>
      <c r="CR14" s="671">
        <f>IF(CR$4&lt;&gt;1,"",COUNTIF(CR9:CR13,"✓"))</f>
        <v/>
      </c>
      <c r="CS14" s="671">
        <f>IF(CS$4&lt;&gt;1,"",COUNTIF(CS9:CS13,"✓"))</f>
        <v/>
      </c>
      <c r="CT14" s="671">
        <f>IF(CT$4&lt;&gt;1,"",COUNTIF(CT9:CT13,"✓"))</f>
        <v/>
      </c>
      <c r="CU14" s="671">
        <f>IF(CU$4&lt;&gt;1,"",COUNTIF(CU9:CU13,"✓"))</f>
        <v/>
      </c>
      <c r="CV14" s="671">
        <f>IF(CV$4&lt;&gt;1,"",COUNTIF(CV9:CV13,"✓"))</f>
        <v/>
      </c>
      <c r="CW14" s="671">
        <f>IF(CW$4&lt;&gt;1,"",COUNTIF(CW9:CW13,"✓"))</f>
        <v/>
      </c>
      <c r="CX14" s="671">
        <f>IF(CX$4&lt;&gt;1,"",COUNTIF(CX9:CX13,"✓"))</f>
        <v/>
      </c>
      <c r="CY14" s="672">
        <f>SUM(CY9:CY13)</f>
        <v/>
      </c>
      <c r="CZ14" s="673">
        <f>SUM(CZ9:CZ13)</f>
        <v/>
      </c>
      <c r="DA14" s="674">
        <f>IFERROR(AVERAGE(DA9:DA13),"")</f>
        <v/>
      </c>
      <c r="DB14" s="670">
        <f>IF(DB$4&lt;&gt;1,"",COUNTIF(DB9:DB13,"✓"))</f>
        <v/>
      </c>
      <c r="DC14" s="671">
        <f>IF(DC$4&lt;&gt;1,"",COUNTIF(DC9:DC13,"✓"))</f>
        <v/>
      </c>
      <c r="DD14" s="671">
        <f>IF(DD$4&lt;&gt;1,"",COUNTIF(DD9:DD13,"✓"))</f>
        <v/>
      </c>
      <c r="DE14" s="671">
        <f>IF(DE$4&lt;&gt;1,"",COUNTIF(DE9:DE13,"✓"))</f>
        <v/>
      </c>
      <c r="DF14" s="671">
        <f>IF(DF$4&lt;&gt;1,"",COUNTIF(DF9:DF13,"✓"))</f>
        <v/>
      </c>
      <c r="DG14" s="671">
        <f>IF(DG$4&lt;&gt;1,"",COUNTIF(DG9:DG13,"✓"))</f>
        <v/>
      </c>
      <c r="DH14" s="671">
        <f>IF(DH$4&lt;&gt;1,"",COUNTIF(DH9:DH13,"✓"))</f>
        <v/>
      </c>
      <c r="DI14" s="671">
        <f>IF(DI$4&lt;&gt;1,"",COUNTIF(DI9:DI13,"✓"))</f>
        <v/>
      </c>
      <c r="DJ14" s="671">
        <f>IF(DJ$4&lt;&gt;1,"",COUNTIF(DJ9:DJ13,"✓"))</f>
        <v/>
      </c>
      <c r="DK14" s="671">
        <f>IF(DK$4&lt;&gt;1,"",COUNTIF(DK9:DK13,"✓"))</f>
        <v/>
      </c>
      <c r="DL14" s="671">
        <f>IF(DL$4&lt;&gt;1,"",COUNTIF(DL9:DL13,"✓"))</f>
        <v/>
      </c>
      <c r="DM14" s="671">
        <f>IF(DM$4&lt;&gt;1,"",COUNTIF(DM9:DM13,"✓"))</f>
        <v/>
      </c>
      <c r="DN14" s="671">
        <f>IF(DN$4&lt;&gt;1,"",COUNTIF(DN9:DN13,"✓"))</f>
        <v/>
      </c>
      <c r="DO14" s="671">
        <f>IF(DO$4&lt;&gt;1,"",COUNTIF(DO9:DO13,"✓"))</f>
        <v/>
      </c>
      <c r="DP14" s="671">
        <f>IF(DP$4&lt;&gt;1,"",COUNTIF(DP9:DP13,"✓"))</f>
        <v/>
      </c>
      <c r="DQ14" s="671">
        <f>IF(DQ$4&lt;&gt;1,"",COUNTIF(DQ9:DQ13,"✓"))</f>
        <v/>
      </c>
      <c r="DR14" s="671">
        <f>IF(DR$4&lt;&gt;1,"",COUNTIF(DR9:DR13,"✓"))</f>
        <v/>
      </c>
      <c r="DS14" s="671">
        <f>IF(DS$4&lt;&gt;1,"",COUNTIF(DS9:DS13,"✓"))</f>
        <v/>
      </c>
      <c r="DT14" s="671">
        <f>IF(DT$4&lt;&gt;1,"",COUNTIF(DT9:DT13,"✓"))</f>
        <v/>
      </c>
      <c r="DU14" s="671">
        <f>IF(DU$4&lt;&gt;1,"",COUNTIF(DU9:DU13,"✓"))</f>
        <v/>
      </c>
      <c r="DV14" s="671">
        <f>IF(DV$4&lt;&gt;1,"",COUNTIF(DV9:DV13,"✓"))</f>
        <v/>
      </c>
      <c r="DW14" s="671">
        <f>IF(DW$4&lt;&gt;1,"",COUNTIF(DW9:DW13,"✓"))</f>
        <v/>
      </c>
      <c r="DX14" s="671">
        <f>IF(DX$4&lt;&gt;1,"",COUNTIF(DX9:DX13,"✓"))</f>
        <v/>
      </c>
      <c r="DY14" s="671">
        <f>IF(DY$4&lt;&gt;1,"",COUNTIF(DY9:DY13,"✓"))</f>
        <v/>
      </c>
      <c r="DZ14" s="671">
        <f>IF(DZ$4&lt;&gt;1,"",COUNTIF(DZ9:DZ13,"✓"))</f>
        <v/>
      </c>
      <c r="EA14" s="671">
        <f>IF(EA$4&lt;&gt;1,"",COUNTIF(EA9:EA13,"✓"))</f>
        <v/>
      </c>
      <c r="EB14" s="671">
        <f>IF(EB$4&lt;&gt;1,"",COUNTIF(EB9:EB13,"✓"))</f>
        <v/>
      </c>
      <c r="EC14" s="671">
        <f>IF(EC$4&lt;&gt;1,"",COUNTIF(EC9:EC13,"✓"))</f>
        <v/>
      </c>
      <c r="ED14" s="671">
        <f>IF(ED$4&lt;&gt;1,"",COUNTIF(ED9:ED13,"✓"))</f>
        <v/>
      </c>
      <c r="EE14" s="671">
        <f>IF(EE$4&lt;&gt;1,"",COUNTIF(EE9:EE13,"✓"))</f>
        <v/>
      </c>
      <c r="EF14" s="671">
        <f>IF(EF$4&lt;&gt;1,"",COUNTIF(EF9:EF13,"✓"))</f>
        <v/>
      </c>
      <c r="EG14" s="672">
        <f>SUM(EG9:EG13)</f>
        <v/>
      </c>
      <c r="EH14" s="673">
        <f>SUM(EH9:EH13)</f>
        <v/>
      </c>
      <c r="EI14" s="674">
        <f>IFERROR(AVERAGE(EI9:EI13),"")</f>
        <v/>
      </c>
      <c r="EJ14" s="670">
        <f>IF(EJ$4&lt;&gt;1,"",COUNTIF(EJ9:EJ13,"✓"))</f>
        <v/>
      </c>
      <c r="EK14" s="671">
        <f>IF(EK$4&lt;&gt;1,"",COUNTIF(EK9:EK13,"✓"))</f>
        <v/>
      </c>
      <c r="EL14" s="671">
        <f>IF(EL$4&lt;&gt;1,"",COUNTIF(EL9:EL13,"✓"))</f>
        <v/>
      </c>
      <c r="EM14" s="671">
        <f>IF(EM$4&lt;&gt;1,"",COUNTIF(EM9:EM13,"✓"))</f>
        <v/>
      </c>
      <c r="EN14" s="671">
        <f>IF(EN$4&lt;&gt;1,"",COUNTIF(EN9:EN13,"✓"))</f>
        <v/>
      </c>
      <c r="EO14" s="671">
        <f>IF(EO$4&lt;&gt;1,"",COUNTIF(EO9:EO13,"✓"))</f>
        <v/>
      </c>
      <c r="EP14" s="671">
        <f>IF(EP$4&lt;&gt;1,"",COUNTIF(EP9:EP13,"✓"))</f>
        <v/>
      </c>
      <c r="EQ14" s="671">
        <f>IF(EQ$4&lt;&gt;1,"",COUNTIF(EQ9:EQ13,"✓"))</f>
        <v/>
      </c>
      <c r="ER14" s="671">
        <f>IF(ER$4&lt;&gt;1,"",COUNTIF(ER9:ER13,"✓"))</f>
        <v/>
      </c>
      <c r="ES14" s="671">
        <f>IF(ES$4&lt;&gt;1,"",COUNTIF(ES9:ES13,"✓"))</f>
        <v/>
      </c>
      <c r="ET14" s="671">
        <f>IF(ET$4&lt;&gt;1,"",COUNTIF(ET9:ET13,"✓"))</f>
        <v/>
      </c>
      <c r="EU14" s="671">
        <f>IF(EU$4&lt;&gt;1,"",COUNTIF(EU9:EU13,"✓"))</f>
        <v/>
      </c>
      <c r="EV14" s="671">
        <f>IF(EV$4&lt;&gt;1,"",COUNTIF(EV9:EV13,"✓"))</f>
        <v/>
      </c>
      <c r="EW14" s="671">
        <f>IF(EW$4&lt;&gt;1,"",COUNTIF(EW9:EW13,"✓"))</f>
        <v/>
      </c>
      <c r="EX14" s="671">
        <f>IF(EX$4&lt;&gt;1,"",COUNTIF(EX9:EX13,"✓"))</f>
        <v/>
      </c>
      <c r="EY14" s="671">
        <f>IF(EY$4&lt;&gt;1,"",COUNTIF(EY9:EY13,"✓"))</f>
        <v/>
      </c>
      <c r="EZ14" s="671">
        <f>IF(EZ$4&lt;&gt;1,"",COUNTIF(EZ9:EZ13,"✓"))</f>
        <v/>
      </c>
      <c r="FA14" s="671">
        <f>IF(FA$4&lt;&gt;1,"",COUNTIF(FA9:FA13,"✓"))</f>
        <v/>
      </c>
      <c r="FB14" s="671">
        <f>IF(FB$4&lt;&gt;1,"",COUNTIF(FB9:FB13,"✓"))</f>
        <v/>
      </c>
      <c r="FC14" s="671">
        <f>IF(FC$4&lt;&gt;1,"",COUNTIF(FC9:FC13,"✓"))</f>
        <v/>
      </c>
      <c r="FD14" s="671">
        <f>IF(FD$4&lt;&gt;1,"",COUNTIF(FD9:FD13,"✓"))</f>
        <v/>
      </c>
      <c r="FE14" s="671">
        <f>IF(FE$4&lt;&gt;1,"",COUNTIF(FE9:FE13,"✓"))</f>
        <v/>
      </c>
      <c r="FF14" s="671">
        <f>IF(FF$4&lt;&gt;1,"",COUNTIF(FF9:FF13,"✓"))</f>
        <v/>
      </c>
      <c r="FG14" s="671">
        <f>IF(FG$4&lt;&gt;1,"",COUNTIF(FG9:FG13,"✓"))</f>
        <v/>
      </c>
      <c r="FH14" s="671">
        <f>IF(FH$4&lt;&gt;1,"",COUNTIF(FH9:FH13,"✓"))</f>
        <v/>
      </c>
      <c r="FI14" s="671">
        <f>IF(FI$4&lt;&gt;1,"",COUNTIF(FI9:FI13,"✓"))</f>
        <v/>
      </c>
      <c r="FJ14" s="671">
        <f>IF(FJ$4&lt;&gt;1,"",COUNTIF(FJ9:FJ13,"✓"))</f>
        <v/>
      </c>
      <c r="FK14" s="671">
        <f>IF(FK$4&lt;&gt;1,"",COUNTIF(FK9:FK13,"✓"))</f>
        <v/>
      </c>
      <c r="FL14" s="671">
        <f>IF(FL$4&lt;&gt;1,"",COUNTIF(FL9:FL13,"✓"))</f>
        <v/>
      </c>
      <c r="FM14" s="671">
        <f>IF(FM$4&lt;&gt;1,"",COUNTIF(FM9:FM13,"✓"))</f>
        <v/>
      </c>
      <c r="FN14" s="671">
        <f>IF(FN$4&lt;&gt;1,"",COUNTIF(FN9:FN13,"✓"))</f>
        <v/>
      </c>
      <c r="FO14" s="672">
        <f>SUM(FO9:FO13)</f>
        <v/>
      </c>
      <c r="FP14" s="673">
        <f>SUM(FP9:FP13)</f>
        <v/>
      </c>
      <c r="FQ14" s="674">
        <f>IFERROR(AVERAGE(FQ9:FQ13),"")</f>
        <v/>
      </c>
      <c r="FR14" s="670">
        <f>IF(FR$4&lt;&gt;1,"",COUNTIF(FR9:FR13,"✓"))</f>
        <v/>
      </c>
      <c r="FS14" s="671">
        <f>IF(FS$4&lt;&gt;1,"",COUNTIF(FS9:FS13,"✓"))</f>
        <v/>
      </c>
      <c r="FT14" s="671">
        <f>IF(FT$4&lt;&gt;1,"",COUNTIF(FT9:FT13,"✓"))</f>
        <v/>
      </c>
      <c r="FU14" s="671">
        <f>IF(FU$4&lt;&gt;1,"",COUNTIF(FU9:FU13,"✓"))</f>
        <v/>
      </c>
      <c r="FV14" s="671">
        <f>IF(FV$4&lt;&gt;1,"",COUNTIF(FV9:FV13,"✓"))</f>
        <v/>
      </c>
      <c r="FW14" s="671">
        <f>IF(FW$4&lt;&gt;1,"",COUNTIF(FW9:FW13,"✓"))</f>
        <v/>
      </c>
      <c r="FX14" s="671">
        <f>IF(FX$4&lt;&gt;1,"",COUNTIF(FX9:FX13,"✓"))</f>
        <v/>
      </c>
      <c r="FY14" s="671">
        <f>IF(FY$4&lt;&gt;1,"",COUNTIF(FY9:FY13,"✓"))</f>
        <v/>
      </c>
      <c r="FZ14" s="671">
        <f>IF(FZ$4&lt;&gt;1,"",COUNTIF(FZ9:FZ13,"✓"))</f>
        <v/>
      </c>
      <c r="GA14" s="671">
        <f>IF(GA$4&lt;&gt;1,"",COUNTIF(GA9:GA13,"✓"))</f>
        <v/>
      </c>
      <c r="GB14" s="671">
        <f>IF(GB$4&lt;&gt;1,"",COUNTIF(GB9:GB13,"✓"))</f>
        <v/>
      </c>
      <c r="GC14" s="671">
        <f>IF(GC$4&lt;&gt;1,"",COUNTIF(GC9:GC13,"✓"))</f>
        <v/>
      </c>
      <c r="GD14" s="671">
        <f>IF(GD$4&lt;&gt;1,"",COUNTIF(GD9:GD13,"✓"))</f>
        <v/>
      </c>
      <c r="GE14" s="671">
        <f>IF(GE$4&lt;&gt;1,"",COUNTIF(GE9:GE13,"✓"))</f>
        <v/>
      </c>
      <c r="GF14" s="671">
        <f>IF(GF$4&lt;&gt;1,"",COUNTIF(GF9:GF13,"✓"))</f>
        <v/>
      </c>
      <c r="GG14" s="671">
        <f>IF(GG$4&lt;&gt;1,"",COUNTIF(GG9:GG13,"✓"))</f>
        <v/>
      </c>
      <c r="GH14" s="671">
        <f>IF(GH$4&lt;&gt;1,"",COUNTIF(GH9:GH13,"✓"))</f>
        <v/>
      </c>
      <c r="GI14" s="671">
        <f>IF(GI$4&lt;&gt;1,"",COUNTIF(GI9:GI13,"✓"))</f>
        <v/>
      </c>
      <c r="GJ14" s="671">
        <f>IF(GJ$4&lt;&gt;1,"",COUNTIF(GJ9:GJ13,"✓"))</f>
        <v/>
      </c>
      <c r="GK14" s="671">
        <f>IF(GK$4&lt;&gt;1,"",COUNTIF(GK9:GK13,"✓"))</f>
        <v/>
      </c>
      <c r="GL14" s="671">
        <f>IF(GL$4&lt;&gt;1,"",COUNTIF(GL9:GL13,"✓"))</f>
        <v/>
      </c>
      <c r="GM14" s="671">
        <f>IF(GM$4&lt;&gt;1,"",COUNTIF(GM9:GM13,"✓"))</f>
        <v/>
      </c>
      <c r="GN14" s="671">
        <f>IF(GN$4&lt;&gt;1,"",COUNTIF(GN9:GN13,"✓"))</f>
        <v/>
      </c>
      <c r="GO14" s="671">
        <f>IF(GO$4&lt;&gt;1,"",COUNTIF(GO9:GO13,"✓"))</f>
        <v/>
      </c>
      <c r="GP14" s="671">
        <f>IF(GP$4&lt;&gt;1,"",COUNTIF(GP9:GP13,"✓"))</f>
        <v/>
      </c>
      <c r="GQ14" s="671">
        <f>IF(GQ$4&lt;&gt;1,"",COUNTIF(GQ9:GQ13,"✓"))</f>
        <v/>
      </c>
      <c r="GR14" s="671">
        <f>IF(GR$4&lt;&gt;1,"",COUNTIF(GR9:GR13,"✓"))</f>
        <v/>
      </c>
      <c r="GS14" s="671">
        <f>IF(GS$4&lt;&gt;1,"",COUNTIF(GS9:GS13,"✓"))</f>
        <v/>
      </c>
      <c r="GT14" s="671">
        <f>IF(GT$4&lt;&gt;1,"",COUNTIF(GT9:GT13,"✓"))</f>
        <v/>
      </c>
      <c r="GU14" s="671">
        <f>IF(GU$4&lt;&gt;1,"",COUNTIF(GU9:GU13,"✓"))</f>
        <v/>
      </c>
      <c r="GV14" s="671">
        <f>IF(GV$4&lt;&gt;1,"",COUNTIF(GV9:GV13,"✓"))</f>
        <v/>
      </c>
      <c r="GW14" s="672">
        <f>SUM(GW9:GW13)</f>
        <v/>
      </c>
      <c r="GX14" s="673">
        <f>SUM(GX9:GX13)</f>
        <v/>
      </c>
      <c r="GY14" s="674">
        <f>IFERROR(AVERAGE(GY9:GY13),"")</f>
        <v/>
      </c>
    </row>
    <row r="15">
      <c r="A15" s="669" t="inlineStr">
        <is>
          <t>ไม่ปฏิบัติ (คน)</t>
        </is>
      </c>
      <c r="B15" s="184" t="n"/>
      <c r="C15" s="184" t="n"/>
      <c r="D15" s="670">
        <f>IF(D$4&lt;&gt;1,"",COUNTIF(D9:D13,"✗"))</f>
        <v/>
      </c>
      <c r="E15" s="671">
        <f>IF(E$4&lt;&gt;1,"",COUNTIF(E9:E13,"✗"))</f>
        <v/>
      </c>
      <c r="F15" s="671">
        <f>IF(F$4&lt;&gt;1,"",COUNTIF(F9:F13,"✗"))</f>
        <v/>
      </c>
      <c r="G15" s="671">
        <f>IF(G$4&lt;&gt;1,"",COUNTIF(G9:G13,"✗"))</f>
        <v/>
      </c>
      <c r="H15" s="671">
        <f>IF(H$4&lt;&gt;1,"",COUNTIF(H9:H13,"✗"))</f>
        <v/>
      </c>
      <c r="I15" s="671">
        <f>IF(I$4&lt;&gt;1,"",COUNTIF(I9:I13,"✗"))</f>
        <v/>
      </c>
      <c r="J15" s="671">
        <f>IF(J$4&lt;&gt;1,"",COUNTIF(J9:J13,"✗"))</f>
        <v/>
      </c>
      <c r="K15" s="671">
        <f>IF(K$4&lt;&gt;1,"",COUNTIF(K9:K13,"✗"))</f>
        <v/>
      </c>
      <c r="L15" s="671">
        <f>IF(L$4&lt;&gt;1,"",COUNTIF(L9:L13,"✗"))</f>
        <v/>
      </c>
      <c r="M15" s="671">
        <f>IF(M$4&lt;&gt;1,"",COUNTIF(M9:M13,"✗"))</f>
        <v/>
      </c>
      <c r="N15" s="671">
        <f>IF(N$4&lt;&gt;1,"",COUNTIF(N9:N13,"✗"))</f>
        <v/>
      </c>
      <c r="O15" s="671">
        <f>IF(O$4&lt;&gt;1,"",COUNTIF(O9:O13,"✗"))</f>
        <v/>
      </c>
      <c r="P15" s="671">
        <f>IF(P$4&lt;&gt;1,"",COUNTIF(P9:P13,"✗"))</f>
        <v/>
      </c>
      <c r="Q15" s="671">
        <f>IF(Q$4&lt;&gt;1,"",COUNTIF(Q9:Q13,"✗"))</f>
        <v/>
      </c>
      <c r="R15" s="671">
        <f>IF(R$4&lt;&gt;1,"",COUNTIF(R9:R13,"✗"))</f>
        <v/>
      </c>
      <c r="S15" s="671">
        <f>IF(S$4&lt;&gt;1,"",COUNTIF(S9:S13,"✗"))</f>
        <v/>
      </c>
      <c r="T15" s="671">
        <f>IF(T$4&lt;&gt;1,"",COUNTIF(T9:T13,"✗"))</f>
        <v/>
      </c>
      <c r="U15" s="671">
        <f>IF(U$4&lt;&gt;1,"",COUNTIF(U9:U13,"✗"))</f>
        <v/>
      </c>
      <c r="V15" s="671">
        <f>IF(V$4&lt;&gt;1,"",COUNTIF(V9:V13,"✗"))</f>
        <v/>
      </c>
      <c r="W15" s="671">
        <f>IF(W$4&lt;&gt;1,"",COUNTIF(W9:W13,"✗"))</f>
        <v/>
      </c>
      <c r="X15" s="671">
        <f>IF(X$4&lt;&gt;1,"",COUNTIF(X9:X13,"✗"))</f>
        <v/>
      </c>
      <c r="Y15" s="671">
        <f>IF(Y$4&lt;&gt;1,"",COUNTIF(Y9:Y13,"✗"))</f>
        <v/>
      </c>
      <c r="Z15" s="671">
        <f>IF(Z$4&lt;&gt;1,"",COUNTIF(Z9:Z13,"✗"))</f>
        <v/>
      </c>
      <c r="AA15" s="671">
        <f>IF(AA$4&lt;&gt;1,"",COUNTIF(AA9:AA13,"✗"))</f>
        <v/>
      </c>
      <c r="AB15" s="671">
        <f>IF(AB$4&lt;&gt;1,"",COUNTIF(AB9:AB13,"✗"))</f>
        <v/>
      </c>
      <c r="AC15" s="671">
        <f>IF(AC$4&lt;&gt;1,"",COUNTIF(AC9:AC13,"✗"))</f>
        <v/>
      </c>
      <c r="AD15" s="671">
        <f>IF(AD$4&lt;&gt;1,"",COUNTIF(AD9:AD13,"✗"))</f>
        <v/>
      </c>
      <c r="AE15" s="671">
        <f>IF(AE$4&lt;&gt;1,"",COUNTIF(AE9:AE13,"✗"))</f>
        <v/>
      </c>
      <c r="AF15" s="671">
        <f>IF(AF$4&lt;&gt;1,"",COUNTIF(AF9:AF13,"✗"))</f>
        <v/>
      </c>
      <c r="AG15" s="671">
        <f>IF(AG$4&lt;&gt;1,"",COUNTIF(AG9:AG13,"✗"))</f>
        <v/>
      </c>
      <c r="AH15" s="671">
        <f>IF(AH$4&lt;&gt;1,"",COUNTIF(AH9:AH13,"✗"))</f>
        <v/>
      </c>
      <c r="AI15" s="672" t="n"/>
      <c r="AJ15" s="673" t="n"/>
      <c r="AK15" s="674" t="n"/>
      <c r="AL15" s="670">
        <f>IF(AL$4&lt;&gt;1,"",COUNTIF(AL9:AL13,"✗"))</f>
        <v/>
      </c>
      <c r="AM15" s="671">
        <f>IF(AM$4&lt;&gt;1,"",COUNTIF(AM9:AM13,"✗"))</f>
        <v/>
      </c>
      <c r="AN15" s="671">
        <f>IF(AN$4&lt;&gt;1,"",COUNTIF(AN9:AN13,"✗"))</f>
        <v/>
      </c>
      <c r="AO15" s="671">
        <f>IF(AO$4&lt;&gt;1,"",COUNTIF(AO9:AO13,"✗"))</f>
        <v/>
      </c>
      <c r="AP15" s="671">
        <f>IF(AP$4&lt;&gt;1,"",COUNTIF(AP9:AP13,"✗"))</f>
        <v/>
      </c>
      <c r="AQ15" s="671">
        <f>IF(AQ$4&lt;&gt;1,"",COUNTIF(AQ9:AQ13,"✗"))</f>
        <v/>
      </c>
      <c r="AR15" s="671">
        <f>IF(AR$4&lt;&gt;1,"",COUNTIF(AR9:AR13,"✗"))</f>
        <v/>
      </c>
      <c r="AS15" s="671">
        <f>IF(AS$4&lt;&gt;1,"",COUNTIF(AS9:AS13,"✗"))</f>
        <v/>
      </c>
      <c r="AT15" s="671">
        <f>IF(AT$4&lt;&gt;1,"",COUNTIF(AT9:AT13,"✗"))</f>
        <v/>
      </c>
      <c r="AU15" s="671">
        <f>IF(AU$4&lt;&gt;1,"",COUNTIF(AU9:AU13,"✗"))</f>
        <v/>
      </c>
      <c r="AV15" s="671">
        <f>IF(AV$4&lt;&gt;1,"",COUNTIF(AV9:AV13,"✗"))</f>
        <v/>
      </c>
      <c r="AW15" s="671">
        <f>IF(AW$4&lt;&gt;1,"",COUNTIF(AW9:AW13,"✗"))</f>
        <v/>
      </c>
      <c r="AX15" s="671">
        <f>IF(AX$4&lt;&gt;1,"",COUNTIF(AX9:AX13,"✗"))</f>
        <v/>
      </c>
      <c r="AY15" s="671">
        <f>IF(AY$4&lt;&gt;1,"",COUNTIF(AY9:AY13,"✗"))</f>
        <v/>
      </c>
      <c r="AZ15" s="671">
        <f>IF(AZ$4&lt;&gt;1,"",COUNTIF(AZ9:AZ13,"✗"))</f>
        <v/>
      </c>
      <c r="BA15" s="671">
        <f>IF(BA$4&lt;&gt;1,"",COUNTIF(BA9:BA13,"✗"))</f>
        <v/>
      </c>
      <c r="BB15" s="671">
        <f>IF(BB$4&lt;&gt;1,"",COUNTIF(BB9:BB13,"✗"))</f>
        <v/>
      </c>
      <c r="BC15" s="671">
        <f>IF(BC$4&lt;&gt;1,"",COUNTIF(BC9:BC13,"✗"))</f>
        <v/>
      </c>
      <c r="BD15" s="671">
        <f>IF(BD$4&lt;&gt;1,"",COUNTIF(BD9:BD13,"✗"))</f>
        <v/>
      </c>
      <c r="BE15" s="671">
        <f>IF(BE$4&lt;&gt;1,"",COUNTIF(BE9:BE13,"✗"))</f>
        <v/>
      </c>
      <c r="BF15" s="671">
        <f>IF(BF$4&lt;&gt;1,"",COUNTIF(BF9:BF13,"✗"))</f>
        <v/>
      </c>
      <c r="BG15" s="671">
        <f>IF(BG$4&lt;&gt;1,"",COUNTIF(BG9:BG13,"✗"))</f>
        <v/>
      </c>
      <c r="BH15" s="671">
        <f>IF(BH$4&lt;&gt;1,"",COUNTIF(BH9:BH13,"✗"))</f>
        <v/>
      </c>
      <c r="BI15" s="671">
        <f>IF(BI$4&lt;&gt;1,"",COUNTIF(BI9:BI13,"✗"))</f>
        <v/>
      </c>
      <c r="BJ15" s="671">
        <f>IF(BJ$4&lt;&gt;1,"",COUNTIF(BJ9:BJ13,"✗"))</f>
        <v/>
      </c>
      <c r="BK15" s="671">
        <f>IF(BK$4&lt;&gt;1,"",COUNTIF(BK9:BK13,"✗"))</f>
        <v/>
      </c>
      <c r="BL15" s="671">
        <f>IF(BL$4&lt;&gt;1,"",COUNTIF(BL9:BL13,"✗"))</f>
        <v/>
      </c>
      <c r="BM15" s="671">
        <f>IF(BM$4&lt;&gt;1,"",COUNTIF(BM9:BM13,"✗"))</f>
        <v/>
      </c>
      <c r="BN15" s="671">
        <f>IF(BN$4&lt;&gt;1,"",COUNTIF(BN9:BN13,"✗"))</f>
        <v/>
      </c>
      <c r="BO15" s="671">
        <f>IF(BO$4&lt;&gt;1,"",COUNTIF(BO9:BO13,"✗"))</f>
        <v/>
      </c>
      <c r="BP15" s="671">
        <f>IF(BP$4&lt;&gt;1,"",COUNTIF(BP9:BP13,"✗"))</f>
        <v/>
      </c>
      <c r="BQ15" s="672" t="n"/>
      <c r="BR15" s="673" t="n"/>
      <c r="BS15" s="674" t="n"/>
      <c r="BT15" s="670">
        <f>IF(BT$4&lt;&gt;1,"",COUNTIF(BT9:BT13,"✗"))</f>
        <v/>
      </c>
      <c r="BU15" s="671">
        <f>IF(BU$4&lt;&gt;1,"",COUNTIF(BU9:BU13,"✗"))</f>
        <v/>
      </c>
      <c r="BV15" s="671">
        <f>IF(BV$4&lt;&gt;1,"",COUNTIF(BV9:BV13,"✗"))</f>
        <v/>
      </c>
      <c r="BW15" s="671">
        <f>IF(BW$4&lt;&gt;1,"",COUNTIF(BW9:BW13,"✗"))</f>
        <v/>
      </c>
      <c r="BX15" s="671">
        <f>IF(BX$4&lt;&gt;1,"",COUNTIF(BX9:BX13,"✗"))</f>
        <v/>
      </c>
      <c r="BY15" s="671">
        <f>IF(BY$4&lt;&gt;1,"",COUNTIF(BY9:BY13,"✗"))</f>
        <v/>
      </c>
      <c r="BZ15" s="671">
        <f>IF(BZ$4&lt;&gt;1,"",COUNTIF(BZ9:BZ13,"✗"))</f>
        <v/>
      </c>
      <c r="CA15" s="671">
        <f>IF(CA$4&lt;&gt;1,"",COUNTIF(CA9:CA13,"✗"))</f>
        <v/>
      </c>
      <c r="CB15" s="671">
        <f>IF(CB$4&lt;&gt;1,"",COUNTIF(CB9:CB13,"✗"))</f>
        <v/>
      </c>
      <c r="CC15" s="671">
        <f>IF(CC$4&lt;&gt;1,"",COUNTIF(CC9:CC13,"✗"))</f>
        <v/>
      </c>
      <c r="CD15" s="671">
        <f>IF(CD$4&lt;&gt;1,"",COUNTIF(CD9:CD13,"✗"))</f>
        <v/>
      </c>
      <c r="CE15" s="671">
        <f>IF(CE$4&lt;&gt;1,"",COUNTIF(CE9:CE13,"✗"))</f>
        <v/>
      </c>
      <c r="CF15" s="671">
        <f>IF(CF$4&lt;&gt;1,"",COUNTIF(CF9:CF13,"✗"))</f>
        <v/>
      </c>
      <c r="CG15" s="671">
        <f>IF(CG$4&lt;&gt;1,"",COUNTIF(CG9:CG13,"✗"))</f>
        <v/>
      </c>
      <c r="CH15" s="671">
        <f>IF(CH$4&lt;&gt;1,"",COUNTIF(CH9:CH13,"✗"))</f>
        <v/>
      </c>
      <c r="CI15" s="671">
        <f>IF(CI$4&lt;&gt;1,"",COUNTIF(CI9:CI13,"✗"))</f>
        <v/>
      </c>
      <c r="CJ15" s="671">
        <f>IF(CJ$4&lt;&gt;1,"",COUNTIF(CJ9:CJ13,"✗"))</f>
        <v/>
      </c>
      <c r="CK15" s="671">
        <f>IF(CK$4&lt;&gt;1,"",COUNTIF(CK9:CK13,"✗"))</f>
        <v/>
      </c>
      <c r="CL15" s="671">
        <f>IF(CL$4&lt;&gt;1,"",COUNTIF(CL9:CL13,"✗"))</f>
        <v/>
      </c>
      <c r="CM15" s="671">
        <f>IF(CM$4&lt;&gt;1,"",COUNTIF(CM9:CM13,"✗"))</f>
        <v/>
      </c>
      <c r="CN15" s="671">
        <f>IF(CN$4&lt;&gt;1,"",COUNTIF(CN9:CN13,"✗"))</f>
        <v/>
      </c>
      <c r="CO15" s="671">
        <f>IF(CO$4&lt;&gt;1,"",COUNTIF(CO9:CO13,"✗"))</f>
        <v/>
      </c>
      <c r="CP15" s="671">
        <f>IF(CP$4&lt;&gt;1,"",COUNTIF(CP9:CP13,"✗"))</f>
        <v/>
      </c>
      <c r="CQ15" s="671">
        <f>IF(CQ$4&lt;&gt;1,"",COUNTIF(CQ9:CQ13,"✗"))</f>
        <v/>
      </c>
      <c r="CR15" s="671">
        <f>IF(CR$4&lt;&gt;1,"",COUNTIF(CR9:CR13,"✗"))</f>
        <v/>
      </c>
      <c r="CS15" s="671">
        <f>IF(CS$4&lt;&gt;1,"",COUNTIF(CS9:CS13,"✗"))</f>
        <v/>
      </c>
      <c r="CT15" s="671">
        <f>IF(CT$4&lt;&gt;1,"",COUNTIF(CT9:CT13,"✗"))</f>
        <v/>
      </c>
      <c r="CU15" s="671">
        <f>IF(CU$4&lt;&gt;1,"",COUNTIF(CU9:CU13,"✗"))</f>
        <v/>
      </c>
      <c r="CV15" s="671">
        <f>IF(CV$4&lt;&gt;1,"",COUNTIF(CV9:CV13,"✗"))</f>
        <v/>
      </c>
      <c r="CW15" s="671">
        <f>IF(CW$4&lt;&gt;1,"",COUNTIF(CW9:CW13,"✗"))</f>
        <v/>
      </c>
      <c r="CX15" s="671">
        <f>IF(CX$4&lt;&gt;1,"",COUNTIF(CX9:CX13,"✗"))</f>
        <v/>
      </c>
      <c r="CY15" s="672" t="n"/>
      <c r="CZ15" s="673" t="n"/>
      <c r="DA15" s="674" t="n"/>
      <c r="DB15" s="670">
        <f>IF(DB$4&lt;&gt;1,"",COUNTIF(DB9:DB13,"✗"))</f>
        <v/>
      </c>
      <c r="DC15" s="671">
        <f>IF(DC$4&lt;&gt;1,"",COUNTIF(DC9:DC13,"✗"))</f>
        <v/>
      </c>
      <c r="DD15" s="671">
        <f>IF(DD$4&lt;&gt;1,"",COUNTIF(DD9:DD13,"✗"))</f>
        <v/>
      </c>
      <c r="DE15" s="671">
        <f>IF(DE$4&lt;&gt;1,"",COUNTIF(DE9:DE13,"✗"))</f>
        <v/>
      </c>
      <c r="DF15" s="671">
        <f>IF(DF$4&lt;&gt;1,"",COUNTIF(DF9:DF13,"✗"))</f>
        <v/>
      </c>
      <c r="DG15" s="671">
        <f>IF(DG$4&lt;&gt;1,"",COUNTIF(DG9:DG13,"✗"))</f>
        <v/>
      </c>
      <c r="DH15" s="671">
        <f>IF(DH$4&lt;&gt;1,"",COUNTIF(DH9:DH13,"✗"))</f>
        <v/>
      </c>
      <c r="DI15" s="671">
        <f>IF(DI$4&lt;&gt;1,"",COUNTIF(DI9:DI13,"✗"))</f>
        <v/>
      </c>
      <c r="DJ15" s="671">
        <f>IF(DJ$4&lt;&gt;1,"",COUNTIF(DJ9:DJ13,"✗"))</f>
        <v/>
      </c>
      <c r="DK15" s="671">
        <f>IF(DK$4&lt;&gt;1,"",COUNTIF(DK9:DK13,"✗"))</f>
        <v/>
      </c>
      <c r="DL15" s="671">
        <f>IF(DL$4&lt;&gt;1,"",COUNTIF(DL9:DL13,"✗"))</f>
        <v/>
      </c>
      <c r="DM15" s="671">
        <f>IF(DM$4&lt;&gt;1,"",COUNTIF(DM9:DM13,"✗"))</f>
        <v/>
      </c>
      <c r="DN15" s="671">
        <f>IF(DN$4&lt;&gt;1,"",COUNTIF(DN9:DN13,"✗"))</f>
        <v/>
      </c>
      <c r="DO15" s="671">
        <f>IF(DO$4&lt;&gt;1,"",COUNTIF(DO9:DO13,"✗"))</f>
        <v/>
      </c>
      <c r="DP15" s="671">
        <f>IF(DP$4&lt;&gt;1,"",COUNTIF(DP9:DP13,"✗"))</f>
        <v/>
      </c>
      <c r="DQ15" s="671">
        <f>IF(DQ$4&lt;&gt;1,"",COUNTIF(DQ9:DQ13,"✗"))</f>
        <v/>
      </c>
      <c r="DR15" s="671">
        <f>IF(DR$4&lt;&gt;1,"",COUNTIF(DR9:DR13,"✗"))</f>
        <v/>
      </c>
      <c r="DS15" s="671">
        <f>IF(DS$4&lt;&gt;1,"",COUNTIF(DS9:DS13,"✗"))</f>
        <v/>
      </c>
      <c r="DT15" s="671">
        <f>IF(DT$4&lt;&gt;1,"",COUNTIF(DT9:DT13,"✗"))</f>
        <v/>
      </c>
      <c r="DU15" s="671">
        <f>IF(DU$4&lt;&gt;1,"",COUNTIF(DU9:DU13,"✗"))</f>
        <v/>
      </c>
      <c r="DV15" s="671">
        <f>IF(DV$4&lt;&gt;1,"",COUNTIF(DV9:DV13,"✗"))</f>
        <v/>
      </c>
      <c r="DW15" s="671">
        <f>IF(DW$4&lt;&gt;1,"",COUNTIF(DW9:DW13,"✗"))</f>
        <v/>
      </c>
      <c r="DX15" s="671">
        <f>IF(DX$4&lt;&gt;1,"",COUNTIF(DX9:DX13,"✗"))</f>
        <v/>
      </c>
      <c r="DY15" s="671">
        <f>IF(DY$4&lt;&gt;1,"",COUNTIF(DY9:DY13,"✗"))</f>
        <v/>
      </c>
      <c r="DZ15" s="671">
        <f>IF(DZ$4&lt;&gt;1,"",COUNTIF(DZ9:DZ13,"✗"))</f>
        <v/>
      </c>
      <c r="EA15" s="671">
        <f>IF(EA$4&lt;&gt;1,"",COUNTIF(EA9:EA13,"✗"))</f>
        <v/>
      </c>
      <c r="EB15" s="671">
        <f>IF(EB$4&lt;&gt;1,"",COUNTIF(EB9:EB13,"✗"))</f>
        <v/>
      </c>
      <c r="EC15" s="671">
        <f>IF(EC$4&lt;&gt;1,"",COUNTIF(EC9:EC13,"✗"))</f>
        <v/>
      </c>
      <c r="ED15" s="671">
        <f>IF(ED$4&lt;&gt;1,"",COUNTIF(ED9:ED13,"✗"))</f>
        <v/>
      </c>
      <c r="EE15" s="671">
        <f>IF(EE$4&lt;&gt;1,"",COUNTIF(EE9:EE13,"✗"))</f>
        <v/>
      </c>
      <c r="EF15" s="671">
        <f>IF(EF$4&lt;&gt;1,"",COUNTIF(EF9:EF13,"✗"))</f>
        <v/>
      </c>
      <c r="EG15" s="672" t="n"/>
      <c r="EH15" s="673" t="n"/>
      <c r="EI15" s="674" t="n"/>
      <c r="EJ15" s="670">
        <f>IF(EJ$4&lt;&gt;1,"",COUNTIF(EJ9:EJ13,"✗"))</f>
        <v/>
      </c>
      <c r="EK15" s="671">
        <f>IF(EK$4&lt;&gt;1,"",COUNTIF(EK9:EK13,"✗"))</f>
        <v/>
      </c>
      <c r="EL15" s="671">
        <f>IF(EL$4&lt;&gt;1,"",COUNTIF(EL9:EL13,"✗"))</f>
        <v/>
      </c>
      <c r="EM15" s="671">
        <f>IF(EM$4&lt;&gt;1,"",COUNTIF(EM9:EM13,"✗"))</f>
        <v/>
      </c>
      <c r="EN15" s="671">
        <f>IF(EN$4&lt;&gt;1,"",COUNTIF(EN9:EN13,"✗"))</f>
        <v/>
      </c>
      <c r="EO15" s="671">
        <f>IF(EO$4&lt;&gt;1,"",COUNTIF(EO9:EO13,"✗"))</f>
        <v/>
      </c>
      <c r="EP15" s="671">
        <f>IF(EP$4&lt;&gt;1,"",COUNTIF(EP9:EP13,"✗"))</f>
        <v/>
      </c>
      <c r="EQ15" s="671">
        <f>IF(EQ$4&lt;&gt;1,"",COUNTIF(EQ9:EQ13,"✗"))</f>
        <v/>
      </c>
      <c r="ER15" s="671">
        <f>IF(ER$4&lt;&gt;1,"",COUNTIF(ER9:ER13,"✗"))</f>
        <v/>
      </c>
      <c r="ES15" s="671">
        <f>IF(ES$4&lt;&gt;1,"",COUNTIF(ES9:ES13,"✗"))</f>
        <v/>
      </c>
      <c r="ET15" s="671">
        <f>IF(ET$4&lt;&gt;1,"",COUNTIF(ET9:ET13,"✗"))</f>
        <v/>
      </c>
      <c r="EU15" s="671">
        <f>IF(EU$4&lt;&gt;1,"",COUNTIF(EU9:EU13,"✗"))</f>
        <v/>
      </c>
      <c r="EV15" s="671">
        <f>IF(EV$4&lt;&gt;1,"",COUNTIF(EV9:EV13,"✗"))</f>
        <v/>
      </c>
      <c r="EW15" s="671">
        <f>IF(EW$4&lt;&gt;1,"",COUNTIF(EW9:EW13,"✗"))</f>
        <v/>
      </c>
      <c r="EX15" s="671">
        <f>IF(EX$4&lt;&gt;1,"",COUNTIF(EX9:EX13,"✗"))</f>
        <v/>
      </c>
      <c r="EY15" s="671">
        <f>IF(EY$4&lt;&gt;1,"",COUNTIF(EY9:EY13,"✗"))</f>
        <v/>
      </c>
      <c r="EZ15" s="671">
        <f>IF(EZ$4&lt;&gt;1,"",COUNTIF(EZ9:EZ13,"✗"))</f>
        <v/>
      </c>
      <c r="FA15" s="671">
        <f>IF(FA$4&lt;&gt;1,"",COUNTIF(FA9:FA13,"✗"))</f>
        <v/>
      </c>
      <c r="FB15" s="671">
        <f>IF(FB$4&lt;&gt;1,"",COUNTIF(FB9:FB13,"✗"))</f>
        <v/>
      </c>
      <c r="FC15" s="671">
        <f>IF(FC$4&lt;&gt;1,"",COUNTIF(FC9:FC13,"✗"))</f>
        <v/>
      </c>
      <c r="FD15" s="671">
        <f>IF(FD$4&lt;&gt;1,"",COUNTIF(FD9:FD13,"✗"))</f>
        <v/>
      </c>
      <c r="FE15" s="671">
        <f>IF(FE$4&lt;&gt;1,"",COUNTIF(FE9:FE13,"✗"))</f>
        <v/>
      </c>
      <c r="FF15" s="671">
        <f>IF(FF$4&lt;&gt;1,"",COUNTIF(FF9:FF13,"✗"))</f>
        <v/>
      </c>
      <c r="FG15" s="671">
        <f>IF(FG$4&lt;&gt;1,"",COUNTIF(FG9:FG13,"✗"))</f>
        <v/>
      </c>
      <c r="FH15" s="671">
        <f>IF(FH$4&lt;&gt;1,"",COUNTIF(FH9:FH13,"✗"))</f>
        <v/>
      </c>
      <c r="FI15" s="671">
        <f>IF(FI$4&lt;&gt;1,"",COUNTIF(FI9:FI13,"✗"))</f>
        <v/>
      </c>
      <c r="FJ15" s="671">
        <f>IF(FJ$4&lt;&gt;1,"",COUNTIF(FJ9:FJ13,"✗"))</f>
        <v/>
      </c>
      <c r="FK15" s="671">
        <f>IF(FK$4&lt;&gt;1,"",COUNTIF(FK9:FK13,"✗"))</f>
        <v/>
      </c>
      <c r="FL15" s="671">
        <f>IF(FL$4&lt;&gt;1,"",COUNTIF(FL9:FL13,"✗"))</f>
        <v/>
      </c>
      <c r="FM15" s="671">
        <f>IF(FM$4&lt;&gt;1,"",COUNTIF(FM9:FM13,"✗"))</f>
        <v/>
      </c>
      <c r="FN15" s="671">
        <f>IF(FN$4&lt;&gt;1,"",COUNTIF(FN9:FN13,"✗"))</f>
        <v/>
      </c>
      <c r="FO15" s="672" t="n"/>
      <c r="FP15" s="673" t="n"/>
      <c r="FQ15" s="674" t="n"/>
      <c r="FR15" s="670">
        <f>IF(FR$4&lt;&gt;1,"",COUNTIF(FR9:FR13,"✗"))</f>
        <v/>
      </c>
      <c r="FS15" s="671">
        <f>IF(FS$4&lt;&gt;1,"",COUNTIF(FS9:FS13,"✗"))</f>
        <v/>
      </c>
      <c r="FT15" s="671">
        <f>IF(FT$4&lt;&gt;1,"",COUNTIF(FT9:FT13,"✗"))</f>
        <v/>
      </c>
      <c r="FU15" s="671">
        <f>IF(FU$4&lt;&gt;1,"",COUNTIF(FU9:FU13,"✗"))</f>
        <v/>
      </c>
      <c r="FV15" s="671">
        <f>IF(FV$4&lt;&gt;1,"",COUNTIF(FV9:FV13,"✗"))</f>
        <v/>
      </c>
      <c r="FW15" s="671">
        <f>IF(FW$4&lt;&gt;1,"",COUNTIF(FW9:FW13,"✗"))</f>
        <v/>
      </c>
      <c r="FX15" s="671">
        <f>IF(FX$4&lt;&gt;1,"",COUNTIF(FX9:FX13,"✗"))</f>
        <v/>
      </c>
      <c r="FY15" s="671">
        <f>IF(FY$4&lt;&gt;1,"",COUNTIF(FY9:FY13,"✗"))</f>
        <v/>
      </c>
      <c r="FZ15" s="671">
        <f>IF(FZ$4&lt;&gt;1,"",COUNTIF(FZ9:FZ13,"✗"))</f>
        <v/>
      </c>
      <c r="GA15" s="671">
        <f>IF(GA$4&lt;&gt;1,"",COUNTIF(GA9:GA13,"✗"))</f>
        <v/>
      </c>
      <c r="GB15" s="671">
        <f>IF(GB$4&lt;&gt;1,"",COUNTIF(GB9:GB13,"✗"))</f>
        <v/>
      </c>
      <c r="GC15" s="671">
        <f>IF(GC$4&lt;&gt;1,"",COUNTIF(GC9:GC13,"✗"))</f>
        <v/>
      </c>
      <c r="GD15" s="671">
        <f>IF(GD$4&lt;&gt;1,"",COUNTIF(GD9:GD13,"✗"))</f>
        <v/>
      </c>
      <c r="GE15" s="671">
        <f>IF(GE$4&lt;&gt;1,"",COUNTIF(GE9:GE13,"✗"))</f>
        <v/>
      </c>
      <c r="GF15" s="671">
        <f>IF(GF$4&lt;&gt;1,"",COUNTIF(GF9:GF13,"✗"))</f>
        <v/>
      </c>
      <c r="GG15" s="671">
        <f>IF(GG$4&lt;&gt;1,"",COUNTIF(GG9:GG13,"✗"))</f>
        <v/>
      </c>
      <c r="GH15" s="671">
        <f>IF(GH$4&lt;&gt;1,"",COUNTIF(GH9:GH13,"✗"))</f>
        <v/>
      </c>
      <c r="GI15" s="671">
        <f>IF(GI$4&lt;&gt;1,"",COUNTIF(GI9:GI13,"✗"))</f>
        <v/>
      </c>
      <c r="GJ15" s="671">
        <f>IF(GJ$4&lt;&gt;1,"",COUNTIF(GJ9:GJ13,"✗"))</f>
        <v/>
      </c>
      <c r="GK15" s="671">
        <f>IF(GK$4&lt;&gt;1,"",COUNTIF(GK9:GK13,"✗"))</f>
        <v/>
      </c>
      <c r="GL15" s="671">
        <f>IF(GL$4&lt;&gt;1,"",COUNTIF(GL9:GL13,"✗"))</f>
        <v/>
      </c>
      <c r="GM15" s="671">
        <f>IF(GM$4&lt;&gt;1,"",COUNTIF(GM9:GM13,"✗"))</f>
        <v/>
      </c>
      <c r="GN15" s="671">
        <f>IF(GN$4&lt;&gt;1,"",COUNTIF(GN9:GN13,"✗"))</f>
        <v/>
      </c>
      <c r="GO15" s="671">
        <f>IF(GO$4&lt;&gt;1,"",COUNTIF(GO9:GO13,"✗"))</f>
        <v/>
      </c>
      <c r="GP15" s="671">
        <f>IF(GP$4&lt;&gt;1,"",COUNTIF(GP9:GP13,"✗"))</f>
        <v/>
      </c>
      <c r="GQ15" s="671">
        <f>IF(GQ$4&lt;&gt;1,"",COUNTIF(GQ9:GQ13,"✗"))</f>
        <v/>
      </c>
      <c r="GR15" s="671">
        <f>IF(GR$4&lt;&gt;1,"",COUNTIF(GR9:GR13,"✗"))</f>
        <v/>
      </c>
      <c r="GS15" s="671">
        <f>IF(GS$4&lt;&gt;1,"",COUNTIF(GS9:GS13,"✗"))</f>
        <v/>
      </c>
      <c r="GT15" s="671">
        <f>IF(GT$4&lt;&gt;1,"",COUNTIF(GT9:GT13,"✗"))</f>
        <v/>
      </c>
      <c r="GU15" s="671">
        <f>IF(GU$4&lt;&gt;1,"",COUNTIF(GU9:GU13,"✗"))</f>
        <v/>
      </c>
      <c r="GV15" s="671">
        <f>IF(GV$4&lt;&gt;1,"",COUNTIF(GV9:GV13,"✗"))</f>
        <v/>
      </c>
      <c r="GW15" s="672" t="n"/>
      <c r="GX15" s="673" t="n"/>
      <c r="GY15" s="674" t="n"/>
    </row>
    <row r="16">
      <c r="A16" s="669" t="inlineStr">
        <is>
          <t>เวรวันนี้ (คน)</t>
        </is>
      </c>
      <c r="B16" s="184" t="n"/>
      <c r="C16" s="184" t="n"/>
      <c r="D16" s="670">
        <f>IF(D$4&lt;&gt;1,"",COUNTIF($C$9:$C$13,D$7))</f>
        <v/>
      </c>
      <c r="E16" s="671">
        <f>IF(E$4&lt;&gt;1,"",COUNTIF($C$9:$C$13,E$7))</f>
        <v/>
      </c>
      <c r="F16" s="671">
        <f>IF(F$4&lt;&gt;1,"",COUNTIF($C$9:$C$13,F$7))</f>
        <v/>
      </c>
      <c r="G16" s="671">
        <f>IF(G$4&lt;&gt;1,"",COUNTIF($C$9:$C$13,G$7))</f>
        <v/>
      </c>
      <c r="H16" s="671">
        <f>IF(H$4&lt;&gt;1,"",COUNTIF($C$9:$C$13,H$7))</f>
        <v/>
      </c>
      <c r="I16" s="671">
        <f>IF(I$4&lt;&gt;1,"",COUNTIF($C$9:$C$13,I$7))</f>
        <v/>
      </c>
      <c r="J16" s="671">
        <f>IF(J$4&lt;&gt;1,"",COUNTIF($C$9:$C$13,J$7))</f>
        <v/>
      </c>
      <c r="K16" s="671">
        <f>IF(K$4&lt;&gt;1,"",COUNTIF($C$9:$C$13,K$7))</f>
        <v/>
      </c>
      <c r="L16" s="671">
        <f>IF(L$4&lt;&gt;1,"",COUNTIF($C$9:$C$13,L$7))</f>
        <v/>
      </c>
      <c r="M16" s="671">
        <f>IF(M$4&lt;&gt;1,"",COUNTIF($C$9:$C$13,M$7))</f>
        <v/>
      </c>
      <c r="N16" s="671">
        <f>IF(N$4&lt;&gt;1,"",COUNTIF($C$9:$C$13,N$7))</f>
        <v/>
      </c>
      <c r="O16" s="671">
        <f>IF(O$4&lt;&gt;1,"",COUNTIF($C$9:$C$13,O$7))</f>
        <v/>
      </c>
      <c r="P16" s="671">
        <f>IF(P$4&lt;&gt;1,"",COUNTIF($C$9:$C$13,P$7))</f>
        <v/>
      </c>
      <c r="Q16" s="671">
        <f>IF(Q$4&lt;&gt;1,"",COUNTIF($C$9:$C$13,Q$7))</f>
        <v/>
      </c>
      <c r="R16" s="671">
        <f>IF(R$4&lt;&gt;1,"",COUNTIF($C$9:$C$13,R$7))</f>
        <v/>
      </c>
      <c r="S16" s="671">
        <f>IF(S$4&lt;&gt;1,"",COUNTIF($C$9:$C$13,S$7))</f>
        <v/>
      </c>
      <c r="T16" s="671">
        <f>IF(T$4&lt;&gt;1,"",COUNTIF($C$9:$C$13,T$7))</f>
        <v/>
      </c>
      <c r="U16" s="671">
        <f>IF(U$4&lt;&gt;1,"",COUNTIF($C$9:$C$13,U$7))</f>
        <v/>
      </c>
      <c r="V16" s="671">
        <f>IF(V$4&lt;&gt;1,"",COUNTIF($C$9:$C$13,V$7))</f>
        <v/>
      </c>
      <c r="W16" s="671">
        <f>IF(W$4&lt;&gt;1,"",COUNTIF($C$9:$C$13,W$7))</f>
        <v/>
      </c>
      <c r="X16" s="671">
        <f>IF(X$4&lt;&gt;1,"",COUNTIF($C$9:$C$13,X$7))</f>
        <v/>
      </c>
      <c r="Y16" s="671">
        <f>IF(Y$4&lt;&gt;1,"",COUNTIF($C$9:$C$13,Y$7))</f>
        <v/>
      </c>
      <c r="Z16" s="671">
        <f>IF(Z$4&lt;&gt;1,"",COUNTIF($C$9:$C$13,Z$7))</f>
        <v/>
      </c>
      <c r="AA16" s="671">
        <f>IF(AA$4&lt;&gt;1,"",COUNTIF($C$9:$C$13,AA$7))</f>
        <v/>
      </c>
      <c r="AB16" s="671">
        <f>IF(AB$4&lt;&gt;1,"",COUNTIF($C$9:$C$13,AB$7))</f>
        <v/>
      </c>
      <c r="AC16" s="671">
        <f>IF(AC$4&lt;&gt;1,"",COUNTIF($C$9:$C$13,AC$7))</f>
        <v/>
      </c>
      <c r="AD16" s="671">
        <f>IF(AD$4&lt;&gt;1,"",COUNTIF($C$9:$C$13,AD$7))</f>
        <v/>
      </c>
      <c r="AE16" s="671">
        <f>IF(AE$4&lt;&gt;1,"",COUNTIF($C$9:$C$13,AE$7))</f>
        <v/>
      </c>
      <c r="AF16" s="671">
        <f>IF(AF$4&lt;&gt;1,"",COUNTIF($C$9:$C$13,AF$7))</f>
        <v/>
      </c>
      <c r="AG16" s="671">
        <f>IF(AG$4&lt;&gt;1,"",COUNTIF($C$9:$C$13,AG$7))</f>
        <v/>
      </c>
      <c r="AH16" s="671">
        <f>IF(AH$4&lt;&gt;1,"",COUNTIF($C$9:$C$13,AH$7))</f>
        <v/>
      </c>
      <c r="AI16" s="672" t="n"/>
      <c r="AJ16" s="673" t="n"/>
      <c r="AK16" s="674" t="n"/>
      <c r="AL16" s="670">
        <f>IF(AL$4&lt;&gt;1,"",COUNTIF($C$9:$C$13,AL$7))</f>
        <v/>
      </c>
      <c r="AM16" s="671">
        <f>IF(AM$4&lt;&gt;1,"",COUNTIF($C$9:$C$13,AM$7))</f>
        <v/>
      </c>
      <c r="AN16" s="671">
        <f>IF(AN$4&lt;&gt;1,"",COUNTIF($C$9:$C$13,AN$7))</f>
        <v/>
      </c>
      <c r="AO16" s="671">
        <f>IF(AO$4&lt;&gt;1,"",COUNTIF($C$9:$C$13,AO$7))</f>
        <v/>
      </c>
      <c r="AP16" s="671">
        <f>IF(AP$4&lt;&gt;1,"",COUNTIF($C$9:$C$13,AP$7))</f>
        <v/>
      </c>
      <c r="AQ16" s="671">
        <f>IF(AQ$4&lt;&gt;1,"",COUNTIF($C$9:$C$13,AQ$7))</f>
        <v/>
      </c>
      <c r="AR16" s="671">
        <f>IF(AR$4&lt;&gt;1,"",COUNTIF($C$9:$C$13,AR$7))</f>
        <v/>
      </c>
      <c r="AS16" s="671">
        <f>IF(AS$4&lt;&gt;1,"",COUNTIF($C$9:$C$13,AS$7))</f>
        <v/>
      </c>
      <c r="AT16" s="671">
        <f>IF(AT$4&lt;&gt;1,"",COUNTIF($C$9:$C$13,AT$7))</f>
        <v/>
      </c>
      <c r="AU16" s="671">
        <f>IF(AU$4&lt;&gt;1,"",COUNTIF($C$9:$C$13,AU$7))</f>
        <v/>
      </c>
      <c r="AV16" s="671">
        <f>IF(AV$4&lt;&gt;1,"",COUNTIF($C$9:$C$13,AV$7))</f>
        <v/>
      </c>
      <c r="AW16" s="671">
        <f>IF(AW$4&lt;&gt;1,"",COUNTIF($C$9:$C$13,AW$7))</f>
        <v/>
      </c>
      <c r="AX16" s="671">
        <f>IF(AX$4&lt;&gt;1,"",COUNTIF($C$9:$C$13,AX$7))</f>
        <v/>
      </c>
      <c r="AY16" s="671">
        <f>IF(AY$4&lt;&gt;1,"",COUNTIF($C$9:$C$13,AY$7))</f>
        <v/>
      </c>
      <c r="AZ16" s="671">
        <f>IF(AZ$4&lt;&gt;1,"",COUNTIF($C$9:$C$13,AZ$7))</f>
        <v/>
      </c>
      <c r="BA16" s="671">
        <f>IF(BA$4&lt;&gt;1,"",COUNTIF($C$9:$C$13,BA$7))</f>
        <v/>
      </c>
      <c r="BB16" s="671">
        <f>IF(BB$4&lt;&gt;1,"",COUNTIF($C$9:$C$13,BB$7))</f>
        <v/>
      </c>
      <c r="BC16" s="671">
        <f>IF(BC$4&lt;&gt;1,"",COUNTIF($C$9:$C$13,BC$7))</f>
        <v/>
      </c>
      <c r="BD16" s="671">
        <f>IF(BD$4&lt;&gt;1,"",COUNTIF($C$9:$C$13,BD$7))</f>
        <v/>
      </c>
      <c r="BE16" s="671">
        <f>IF(BE$4&lt;&gt;1,"",COUNTIF($C$9:$C$13,BE$7))</f>
        <v/>
      </c>
      <c r="BF16" s="671">
        <f>IF(BF$4&lt;&gt;1,"",COUNTIF($C$9:$C$13,BF$7))</f>
        <v/>
      </c>
      <c r="BG16" s="671">
        <f>IF(BG$4&lt;&gt;1,"",COUNTIF($C$9:$C$13,BG$7))</f>
        <v/>
      </c>
      <c r="BH16" s="671">
        <f>IF(BH$4&lt;&gt;1,"",COUNTIF($C$9:$C$13,BH$7))</f>
        <v/>
      </c>
      <c r="BI16" s="671">
        <f>IF(BI$4&lt;&gt;1,"",COUNTIF($C$9:$C$13,BI$7))</f>
        <v/>
      </c>
      <c r="BJ16" s="671">
        <f>IF(BJ$4&lt;&gt;1,"",COUNTIF($C$9:$C$13,BJ$7))</f>
        <v/>
      </c>
      <c r="BK16" s="671">
        <f>IF(BK$4&lt;&gt;1,"",COUNTIF($C$9:$C$13,BK$7))</f>
        <v/>
      </c>
      <c r="BL16" s="671">
        <f>IF(BL$4&lt;&gt;1,"",COUNTIF($C$9:$C$13,BL$7))</f>
        <v/>
      </c>
      <c r="BM16" s="671">
        <f>IF(BM$4&lt;&gt;1,"",COUNTIF($C$9:$C$13,BM$7))</f>
        <v/>
      </c>
      <c r="BN16" s="671">
        <f>IF(BN$4&lt;&gt;1,"",COUNTIF($C$9:$C$13,BN$7))</f>
        <v/>
      </c>
      <c r="BO16" s="671">
        <f>IF(BO$4&lt;&gt;1,"",COUNTIF($C$9:$C$13,BO$7))</f>
        <v/>
      </c>
      <c r="BP16" s="671">
        <f>IF(BP$4&lt;&gt;1,"",COUNTIF($C$9:$C$13,BP$7))</f>
        <v/>
      </c>
      <c r="BQ16" s="672" t="n"/>
      <c r="BR16" s="673" t="n"/>
      <c r="BS16" s="674" t="n"/>
      <c r="BT16" s="670">
        <f>IF(BT$4&lt;&gt;1,"",COUNTIF($C$9:$C$13,BT$7))</f>
        <v/>
      </c>
      <c r="BU16" s="671">
        <f>IF(BU$4&lt;&gt;1,"",COUNTIF($C$9:$C$13,BU$7))</f>
        <v/>
      </c>
      <c r="BV16" s="671">
        <f>IF(BV$4&lt;&gt;1,"",COUNTIF($C$9:$C$13,BV$7))</f>
        <v/>
      </c>
      <c r="BW16" s="671">
        <f>IF(BW$4&lt;&gt;1,"",COUNTIF($C$9:$C$13,BW$7))</f>
        <v/>
      </c>
      <c r="BX16" s="671">
        <f>IF(BX$4&lt;&gt;1,"",COUNTIF($C$9:$C$13,BX$7))</f>
        <v/>
      </c>
      <c r="BY16" s="671">
        <f>IF(BY$4&lt;&gt;1,"",COUNTIF($C$9:$C$13,BY$7))</f>
        <v/>
      </c>
      <c r="BZ16" s="671">
        <f>IF(BZ$4&lt;&gt;1,"",COUNTIF($C$9:$C$13,BZ$7))</f>
        <v/>
      </c>
      <c r="CA16" s="671">
        <f>IF(CA$4&lt;&gt;1,"",COUNTIF($C$9:$C$13,CA$7))</f>
        <v/>
      </c>
      <c r="CB16" s="671">
        <f>IF(CB$4&lt;&gt;1,"",COUNTIF($C$9:$C$13,CB$7))</f>
        <v/>
      </c>
      <c r="CC16" s="671">
        <f>IF(CC$4&lt;&gt;1,"",COUNTIF($C$9:$C$13,CC$7))</f>
        <v/>
      </c>
      <c r="CD16" s="671">
        <f>IF(CD$4&lt;&gt;1,"",COUNTIF($C$9:$C$13,CD$7))</f>
        <v/>
      </c>
      <c r="CE16" s="671">
        <f>IF(CE$4&lt;&gt;1,"",COUNTIF($C$9:$C$13,CE$7))</f>
        <v/>
      </c>
      <c r="CF16" s="671">
        <f>IF(CF$4&lt;&gt;1,"",COUNTIF($C$9:$C$13,CF$7))</f>
        <v/>
      </c>
      <c r="CG16" s="671">
        <f>IF(CG$4&lt;&gt;1,"",COUNTIF($C$9:$C$13,CG$7))</f>
        <v/>
      </c>
      <c r="CH16" s="671">
        <f>IF(CH$4&lt;&gt;1,"",COUNTIF($C$9:$C$13,CH$7))</f>
        <v/>
      </c>
      <c r="CI16" s="671">
        <f>IF(CI$4&lt;&gt;1,"",COUNTIF($C$9:$C$13,CI$7))</f>
        <v/>
      </c>
      <c r="CJ16" s="671">
        <f>IF(CJ$4&lt;&gt;1,"",COUNTIF($C$9:$C$13,CJ$7))</f>
        <v/>
      </c>
      <c r="CK16" s="671">
        <f>IF(CK$4&lt;&gt;1,"",COUNTIF($C$9:$C$13,CK$7))</f>
        <v/>
      </c>
      <c r="CL16" s="671">
        <f>IF(CL$4&lt;&gt;1,"",COUNTIF($C$9:$C$13,CL$7))</f>
        <v/>
      </c>
      <c r="CM16" s="671">
        <f>IF(CM$4&lt;&gt;1,"",COUNTIF($C$9:$C$13,CM$7))</f>
        <v/>
      </c>
      <c r="CN16" s="671">
        <f>IF(CN$4&lt;&gt;1,"",COUNTIF($C$9:$C$13,CN$7))</f>
        <v/>
      </c>
      <c r="CO16" s="671">
        <f>IF(CO$4&lt;&gt;1,"",COUNTIF($C$9:$C$13,CO$7))</f>
        <v/>
      </c>
      <c r="CP16" s="671">
        <f>IF(CP$4&lt;&gt;1,"",COUNTIF($C$9:$C$13,CP$7))</f>
        <v/>
      </c>
      <c r="CQ16" s="671">
        <f>IF(CQ$4&lt;&gt;1,"",COUNTIF($C$9:$C$13,CQ$7))</f>
        <v/>
      </c>
      <c r="CR16" s="671">
        <f>IF(CR$4&lt;&gt;1,"",COUNTIF($C$9:$C$13,CR$7))</f>
        <v/>
      </c>
      <c r="CS16" s="671">
        <f>IF(CS$4&lt;&gt;1,"",COUNTIF($C$9:$C$13,CS$7))</f>
        <v/>
      </c>
      <c r="CT16" s="671">
        <f>IF(CT$4&lt;&gt;1,"",COUNTIF($C$9:$C$13,CT$7))</f>
        <v/>
      </c>
      <c r="CU16" s="671">
        <f>IF(CU$4&lt;&gt;1,"",COUNTIF($C$9:$C$13,CU$7))</f>
        <v/>
      </c>
      <c r="CV16" s="671">
        <f>IF(CV$4&lt;&gt;1,"",COUNTIF($C$9:$C$13,CV$7))</f>
        <v/>
      </c>
      <c r="CW16" s="671">
        <f>IF(CW$4&lt;&gt;1,"",COUNTIF($C$9:$C$13,CW$7))</f>
        <v/>
      </c>
      <c r="CX16" s="671">
        <f>IF(CX$4&lt;&gt;1,"",COUNTIF($C$9:$C$13,CX$7))</f>
        <v/>
      </c>
      <c r="CY16" s="672" t="n"/>
      <c r="CZ16" s="673" t="n"/>
      <c r="DA16" s="674" t="n"/>
      <c r="DB16" s="670">
        <f>IF(DB$4&lt;&gt;1,"",COUNTIF($C$9:$C$13,DB$7))</f>
        <v/>
      </c>
      <c r="DC16" s="671">
        <f>IF(DC$4&lt;&gt;1,"",COUNTIF($C$9:$C$13,DC$7))</f>
        <v/>
      </c>
      <c r="DD16" s="671">
        <f>IF(DD$4&lt;&gt;1,"",COUNTIF($C$9:$C$13,DD$7))</f>
        <v/>
      </c>
      <c r="DE16" s="671">
        <f>IF(DE$4&lt;&gt;1,"",COUNTIF($C$9:$C$13,DE$7))</f>
        <v/>
      </c>
      <c r="DF16" s="671">
        <f>IF(DF$4&lt;&gt;1,"",COUNTIF($C$9:$C$13,DF$7))</f>
        <v/>
      </c>
      <c r="DG16" s="671">
        <f>IF(DG$4&lt;&gt;1,"",COUNTIF($C$9:$C$13,DG$7))</f>
        <v/>
      </c>
      <c r="DH16" s="671">
        <f>IF(DH$4&lt;&gt;1,"",COUNTIF($C$9:$C$13,DH$7))</f>
        <v/>
      </c>
      <c r="DI16" s="671">
        <f>IF(DI$4&lt;&gt;1,"",COUNTIF($C$9:$C$13,DI$7))</f>
        <v/>
      </c>
      <c r="DJ16" s="671">
        <f>IF(DJ$4&lt;&gt;1,"",COUNTIF($C$9:$C$13,DJ$7))</f>
        <v/>
      </c>
      <c r="DK16" s="671">
        <f>IF(DK$4&lt;&gt;1,"",COUNTIF($C$9:$C$13,DK$7))</f>
        <v/>
      </c>
      <c r="DL16" s="671">
        <f>IF(DL$4&lt;&gt;1,"",COUNTIF($C$9:$C$13,DL$7))</f>
        <v/>
      </c>
      <c r="DM16" s="671">
        <f>IF(DM$4&lt;&gt;1,"",COUNTIF($C$9:$C$13,DM$7))</f>
        <v/>
      </c>
      <c r="DN16" s="671">
        <f>IF(DN$4&lt;&gt;1,"",COUNTIF($C$9:$C$13,DN$7))</f>
        <v/>
      </c>
      <c r="DO16" s="671">
        <f>IF(DO$4&lt;&gt;1,"",COUNTIF($C$9:$C$13,DO$7))</f>
        <v/>
      </c>
      <c r="DP16" s="671">
        <f>IF(DP$4&lt;&gt;1,"",COUNTIF($C$9:$C$13,DP$7))</f>
        <v/>
      </c>
      <c r="DQ16" s="671">
        <f>IF(DQ$4&lt;&gt;1,"",COUNTIF($C$9:$C$13,DQ$7))</f>
        <v/>
      </c>
      <c r="DR16" s="671">
        <f>IF(DR$4&lt;&gt;1,"",COUNTIF($C$9:$C$13,DR$7))</f>
        <v/>
      </c>
      <c r="DS16" s="671">
        <f>IF(DS$4&lt;&gt;1,"",COUNTIF($C$9:$C$13,DS$7))</f>
        <v/>
      </c>
      <c r="DT16" s="671">
        <f>IF(DT$4&lt;&gt;1,"",COUNTIF($C$9:$C$13,DT$7))</f>
        <v/>
      </c>
      <c r="DU16" s="671">
        <f>IF(DU$4&lt;&gt;1,"",COUNTIF($C$9:$C$13,DU$7))</f>
        <v/>
      </c>
      <c r="DV16" s="671">
        <f>IF(DV$4&lt;&gt;1,"",COUNTIF($C$9:$C$13,DV$7))</f>
        <v/>
      </c>
      <c r="DW16" s="671">
        <f>IF(DW$4&lt;&gt;1,"",COUNTIF($C$9:$C$13,DW$7))</f>
        <v/>
      </c>
      <c r="DX16" s="671">
        <f>IF(DX$4&lt;&gt;1,"",COUNTIF($C$9:$C$13,DX$7))</f>
        <v/>
      </c>
      <c r="DY16" s="671">
        <f>IF(DY$4&lt;&gt;1,"",COUNTIF($C$9:$C$13,DY$7))</f>
        <v/>
      </c>
      <c r="DZ16" s="671">
        <f>IF(DZ$4&lt;&gt;1,"",COUNTIF($C$9:$C$13,DZ$7))</f>
        <v/>
      </c>
      <c r="EA16" s="671">
        <f>IF(EA$4&lt;&gt;1,"",COUNTIF($C$9:$C$13,EA$7))</f>
        <v/>
      </c>
      <c r="EB16" s="671">
        <f>IF(EB$4&lt;&gt;1,"",COUNTIF($C$9:$C$13,EB$7))</f>
        <v/>
      </c>
      <c r="EC16" s="671">
        <f>IF(EC$4&lt;&gt;1,"",COUNTIF($C$9:$C$13,EC$7))</f>
        <v/>
      </c>
      <c r="ED16" s="671">
        <f>IF(ED$4&lt;&gt;1,"",COUNTIF($C$9:$C$13,ED$7))</f>
        <v/>
      </c>
      <c r="EE16" s="671">
        <f>IF(EE$4&lt;&gt;1,"",COUNTIF($C$9:$C$13,EE$7))</f>
        <v/>
      </c>
      <c r="EF16" s="671">
        <f>IF(EF$4&lt;&gt;1,"",COUNTIF($C$9:$C$13,EF$7))</f>
        <v/>
      </c>
      <c r="EG16" s="672" t="n"/>
      <c r="EH16" s="673" t="n"/>
      <c r="EI16" s="674" t="n"/>
      <c r="EJ16" s="670">
        <f>IF(EJ$4&lt;&gt;1,"",COUNTIF($C$9:$C$13,EJ$7))</f>
        <v/>
      </c>
      <c r="EK16" s="671">
        <f>IF(EK$4&lt;&gt;1,"",COUNTIF($C$9:$C$13,EK$7))</f>
        <v/>
      </c>
      <c r="EL16" s="671">
        <f>IF(EL$4&lt;&gt;1,"",COUNTIF($C$9:$C$13,EL$7))</f>
        <v/>
      </c>
      <c r="EM16" s="671">
        <f>IF(EM$4&lt;&gt;1,"",COUNTIF($C$9:$C$13,EM$7))</f>
        <v/>
      </c>
      <c r="EN16" s="671">
        <f>IF(EN$4&lt;&gt;1,"",COUNTIF($C$9:$C$13,EN$7))</f>
        <v/>
      </c>
      <c r="EO16" s="671">
        <f>IF(EO$4&lt;&gt;1,"",COUNTIF($C$9:$C$13,EO$7))</f>
        <v/>
      </c>
      <c r="EP16" s="671">
        <f>IF(EP$4&lt;&gt;1,"",COUNTIF($C$9:$C$13,EP$7))</f>
        <v/>
      </c>
      <c r="EQ16" s="671">
        <f>IF(EQ$4&lt;&gt;1,"",COUNTIF($C$9:$C$13,EQ$7))</f>
        <v/>
      </c>
      <c r="ER16" s="671">
        <f>IF(ER$4&lt;&gt;1,"",COUNTIF($C$9:$C$13,ER$7))</f>
        <v/>
      </c>
      <c r="ES16" s="671">
        <f>IF(ES$4&lt;&gt;1,"",COUNTIF($C$9:$C$13,ES$7))</f>
        <v/>
      </c>
      <c r="ET16" s="671">
        <f>IF(ET$4&lt;&gt;1,"",COUNTIF($C$9:$C$13,ET$7))</f>
        <v/>
      </c>
      <c r="EU16" s="671">
        <f>IF(EU$4&lt;&gt;1,"",COUNTIF($C$9:$C$13,EU$7))</f>
        <v/>
      </c>
      <c r="EV16" s="671">
        <f>IF(EV$4&lt;&gt;1,"",COUNTIF($C$9:$C$13,EV$7))</f>
        <v/>
      </c>
      <c r="EW16" s="671">
        <f>IF(EW$4&lt;&gt;1,"",COUNTIF($C$9:$C$13,EW$7))</f>
        <v/>
      </c>
      <c r="EX16" s="671">
        <f>IF(EX$4&lt;&gt;1,"",COUNTIF($C$9:$C$13,EX$7))</f>
        <v/>
      </c>
      <c r="EY16" s="671">
        <f>IF(EY$4&lt;&gt;1,"",COUNTIF($C$9:$C$13,EY$7))</f>
        <v/>
      </c>
      <c r="EZ16" s="671">
        <f>IF(EZ$4&lt;&gt;1,"",COUNTIF($C$9:$C$13,EZ$7))</f>
        <v/>
      </c>
      <c r="FA16" s="671">
        <f>IF(FA$4&lt;&gt;1,"",COUNTIF($C$9:$C$13,FA$7))</f>
        <v/>
      </c>
      <c r="FB16" s="671">
        <f>IF(FB$4&lt;&gt;1,"",COUNTIF($C$9:$C$13,FB$7))</f>
        <v/>
      </c>
      <c r="FC16" s="671">
        <f>IF(FC$4&lt;&gt;1,"",COUNTIF($C$9:$C$13,FC$7))</f>
        <v/>
      </c>
      <c r="FD16" s="671">
        <f>IF(FD$4&lt;&gt;1,"",COUNTIF($C$9:$C$13,FD$7))</f>
        <v/>
      </c>
      <c r="FE16" s="671">
        <f>IF(FE$4&lt;&gt;1,"",COUNTIF($C$9:$C$13,FE$7))</f>
        <v/>
      </c>
      <c r="FF16" s="671">
        <f>IF(FF$4&lt;&gt;1,"",COUNTIF($C$9:$C$13,FF$7))</f>
        <v/>
      </c>
      <c r="FG16" s="671">
        <f>IF(FG$4&lt;&gt;1,"",COUNTIF($C$9:$C$13,FG$7))</f>
        <v/>
      </c>
      <c r="FH16" s="671">
        <f>IF(FH$4&lt;&gt;1,"",COUNTIF($C$9:$C$13,FH$7))</f>
        <v/>
      </c>
      <c r="FI16" s="671">
        <f>IF(FI$4&lt;&gt;1,"",COUNTIF($C$9:$C$13,FI$7))</f>
        <v/>
      </c>
      <c r="FJ16" s="671">
        <f>IF(FJ$4&lt;&gt;1,"",COUNTIF($C$9:$C$13,FJ$7))</f>
        <v/>
      </c>
      <c r="FK16" s="671">
        <f>IF(FK$4&lt;&gt;1,"",COUNTIF($C$9:$C$13,FK$7))</f>
        <v/>
      </c>
      <c r="FL16" s="671">
        <f>IF(FL$4&lt;&gt;1,"",COUNTIF($C$9:$C$13,FL$7))</f>
        <v/>
      </c>
      <c r="FM16" s="671">
        <f>IF(FM$4&lt;&gt;1,"",COUNTIF($C$9:$C$13,FM$7))</f>
        <v/>
      </c>
      <c r="FN16" s="671">
        <f>IF(FN$4&lt;&gt;1,"",COUNTIF($C$9:$C$13,FN$7))</f>
        <v/>
      </c>
      <c r="FO16" s="672" t="n"/>
      <c r="FP16" s="673" t="n"/>
      <c r="FQ16" s="674" t="n"/>
      <c r="FR16" s="670">
        <f>IF(FR$4&lt;&gt;1,"",COUNTIF($C$9:$C$13,FR$7))</f>
        <v/>
      </c>
      <c r="FS16" s="671">
        <f>IF(FS$4&lt;&gt;1,"",COUNTIF($C$9:$C$13,FS$7))</f>
        <v/>
      </c>
      <c r="FT16" s="671">
        <f>IF(FT$4&lt;&gt;1,"",COUNTIF($C$9:$C$13,FT$7))</f>
        <v/>
      </c>
      <c r="FU16" s="671">
        <f>IF(FU$4&lt;&gt;1,"",COUNTIF($C$9:$C$13,FU$7))</f>
        <v/>
      </c>
      <c r="FV16" s="671">
        <f>IF(FV$4&lt;&gt;1,"",COUNTIF($C$9:$C$13,FV$7))</f>
        <v/>
      </c>
      <c r="FW16" s="671">
        <f>IF(FW$4&lt;&gt;1,"",COUNTIF($C$9:$C$13,FW$7))</f>
        <v/>
      </c>
      <c r="FX16" s="671">
        <f>IF(FX$4&lt;&gt;1,"",COUNTIF($C$9:$C$13,FX$7))</f>
        <v/>
      </c>
      <c r="FY16" s="671">
        <f>IF(FY$4&lt;&gt;1,"",COUNTIF($C$9:$C$13,FY$7))</f>
        <v/>
      </c>
      <c r="FZ16" s="671">
        <f>IF(FZ$4&lt;&gt;1,"",COUNTIF($C$9:$C$13,FZ$7))</f>
        <v/>
      </c>
      <c r="GA16" s="671">
        <f>IF(GA$4&lt;&gt;1,"",COUNTIF($C$9:$C$13,GA$7))</f>
        <v/>
      </c>
      <c r="GB16" s="671">
        <f>IF(GB$4&lt;&gt;1,"",COUNTIF($C$9:$C$13,GB$7))</f>
        <v/>
      </c>
      <c r="GC16" s="671">
        <f>IF(GC$4&lt;&gt;1,"",COUNTIF($C$9:$C$13,GC$7))</f>
        <v/>
      </c>
      <c r="GD16" s="671">
        <f>IF(GD$4&lt;&gt;1,"",COUNTIF($C$9:$C$13,GD$7))</f>
        <v/>
      </c>
      <c r="GE16" s="671">
        <f>IF(GE$4&lt;&gt;1,"",COUNTIF($C$9:$C$13,GE$7))</f>
        <v/>
      </c>
      <c r="GF16" s="671">
        <f>IF(GF$4&lt;&gt;1,"",COUNTIF($C$9:$C$13,GF$7))</f>
        <v/>
      </c>
      <c r="GG16" s="671">
        <f>IF(GG$4&lt;&gt;1,"",COUNTIF($C$9:$C$13,GG$7))</f>
        <v/>
      </c>
      <c r="GH16" s="671">
        <f>IF(GH$4&lt;&gt;1,"",COUNTIF($C$9:$C$13,GH$7))</f>
        <v/>
      </c>
      <c r="GI16" s="671">
        <f>IF(GI$4&lt;&gt;1,"",COUNTIF($C$9:$C$13,GI$7))</f>
        <v/>
      </c>
      <c r="GJ16" s="671">
        <f>IF(GJ$4&lt;&gt;1,"",COUNTIF($C$9:$C$13,GJ$7))</f>
        <v/>
      </c>
      <c r="GK16" s="671">
        <f>IF(GK$4&lt;&gt;1,"",COUNTIF($C$9:$C$13,GK$7))</f>
        <v/>
      </c>
      <c r="GL16" s="671">
        <f>IF(GL$4&lt;&gt;1,"",COUNTIF($C$9:$C$13,GL$7))</f>
        <v/>
      </c>
      <c r="GM16" s="671">
        <f>IF(GM$4&lt;&gt;1,"",COUNTIF($C$9:$C$13,GM$7))</f>
        <v/>
      </c>
      <c r="GN16" s="671">
        <f>IF(GN$4&lt;&gt;1,"",COUNTIF($C$9:$C$13,GN$7))</f>
        <v/>
      </c>
      <c r="GO16" s="671">
        <f>IF(GO$4&lt;&gt;1,"",COUNTIF($C$9:$C$13,GO$7))</f>
        <v/>
      </c>
      <c r="GP16" s="671">
        <f>IF(GP$4&lt;&gt;1,"",COUNTIF($C$9:$C$13,GP$7))</f>
        <v/>
      </c>
      <c r="GQ16" s="671">
        <f>IF(GQ$4&lt;&gt;1,"",COUNTIF($C$9:$C$13,GQ$7))</f>
        <v/>
      </c>
      <c r="GR16" s="671">
        <f>IF(GR$4&lt;&gt;1,"",COUNTIF($C$9:$C$13,GR$7))</f>
        <v/>
      </c>
      <c r="GS16" s="671">
        <f>IF(GS$4&lt;&gt;1,"",COUNTIF($C$9:$C$13,GS$7))</f>
        <v/>
      </c>
      <c r="GT16" s="671">
        <f>IF(GT$4&lt;&gt;1,"",COUNTIF($C$9:$C$13,GT$7))</f>
        <v/>
      </c>
      <c r="GU16" s="671">
        <f>IF(GU$4&lt;&gt;1,"",COUNTIF($C$9:$C$13,GU$7))</f>
        <v/>
      </c>
      <c r="GV16" s="671">
        <f>IF(GV$4&lt;&gt;1,"",COUNTIF($C$9:$C$13,GV$7))</f>
        <v/>
      </c>
      <c r="GW16" s="672" t="n"/>
      <c r="GX16" s="673" t="n"/>
      <c r="GY16" s="674" t="n"/>
    </row>
    <row r="17">
      <c r="A17" s="669" t="inlineStr"/>
      <c r="B17" s="184" t="n"/>
      <c r="C17" s="184" t="n"/>
      <c r="D17" s="675" t="n"/>
      <c r="E17" s="676" t="n"/>
      <c r="F17" s="676" t="n"/>
      <c r="G17" s="676" t="n"/>
      <c r="H17" s="676" t="n"/>
      <c r="I17" s="676" t="n"/>
      <c r="J17" s="676" t="n"/>
      <c r="K17" s="676" t="n"/>
      <c r="L17" s="676" t="n"/>
      <c r="M17" s="676" t="n"/>
      <c r="N17" s="676" t="n"/>
      <c r="O17" s="676" t="n"/>
      <c r="P17" s="676" t="n"/>
      <c r="Q17" s="676" t="n"/>
      <c r="R17" s="676" t="n"/>
      <c r="S17" s="676" t="n"/>
      <c r="T17" s="676" t="n"/>
      <c r="U17" s="676" t="n"/>
      <c r="V17" s="676" t="n"/>
      <c r="W17" s="676" t="n"/>
      <c r="X17" s="676" t="n"/>
      <c r="Y17" s="676" t="n"/>
      <c r="Z17" s="676" t="n"/>
      <c r="AA17" s="676" t="n"/>
      <c r="AB17" s="676" t="n"/>
      <c r="AC17" s="676" t="n"/>
      <c r="AD17" s="676" t="n"/>
      <c r="AE17" s="676" t="n"/>
      <c r="AF17" s="676" t="n"/>
      <c r="AG17" s="676" t="n"/>
      <c r="AH17" s="676" t="n"/>
      <c r="AI17" s="672" t="n"/>
      <c r="AJ17" s="673" t="n"/>
      <c r="AK17" s="674" t="n"/>
      <c r="AL17" s="675" t="n"/>
      <c r="AM17" s="676" t="n"/>
      <c r="AN17" s="676" t="n"/>
      <c r="AO17" s="676" t="n"/>
      <c r="AP17" s="676" t="n"/>
      <c r="AQ17" s="676" t="n"/>
      <c r="AR17" s="676" t="n"/>
      <c r="AS17" s="676" t="n"/>
      <c r="AT17" s="676" t="n"/>
      <c r="AU17" s="676" t="n"/>
      <c r="AV17" s="676" t="n"/>
      <c r="AW17" s="676" t="n"/>
      <c r="AX17" s="676" t="n"/>
      <c r="AY17" s="676" t="n"/>
      <c r="AZ17" s="676" t="n"/>
      <c r="BA17" s="676" t="n"/>
      <c r="BB17" s="676" t="n"/>
      <c r="BC17" s="676" t="n"/>
      <c r="BD17" s="676" t="n"/>
      <c r="BE17" s="676" t="n"/>
      <c r="BF17" s="676" t="n"/>
      <c r="BG17" s="676" t="n"/>
      <c r="BH17" s="676" t="n"/>
      <c r="BI17" s="676" t="n"/>
      <c r="BJ17" s="676" t="n"/>
      <c r="BK17" s="676" t="n"/>
      <c r="BL17" s="676" t="n"/>
      <c r="BM17" s="676" t="n"/>
      <c r="BN17" s="676" t="n"/>
      <c r="BO17" s="676" t="n"/>
      <c r="BP17" s="676" t="n"/>
      <c r="BQ17" s="672" t="n"/>
      <c r="BR17" s="673" t="n"/>
      <c r="BS17" s="674" t="n"/>
      <c r="BT17" s="675" t="n"/>
      <c r="BU17" s="676" t="n"/>
      <c r="BV17" s="676" t="n"/>
      <c r="BW17" s="676" t="n"/>
      <c r="BX17" s="676" t="n"/>
      <c r="BY17" s="676" t="n"/>
      <c r="BZ17" s="676" t="n"/>
      <c r="CA17" s="676" t="n"/>
      <c r="CB17" s="676" t="n"/>
      <c r="CC17" s="676" t="n"/>
      <c r="CD17" s="676" t="n"/>
      <c r="CE17" s="676" t="n"/>
      <c r="CF17" s="676" t="n"/>
      <c r="CG17" s="676" t="n"/>
      <c r="CH17" s="676" t="n"/>
      <c r="CI17" s="676" t="n"/>
      <c r="CJ17" s="676" t="n"/>
      <c r="CK17" s="676" t="n"/>
      <c r="CL17" s="676" t="n"/>
      <c r="CM17" s="676" t="n"/>
      <c r="CN17" s="676" t="n"/>
      <c r="CO17" s="676" t="n"/>
      <c r="CP17" s="676" t="n"/>
      <c r="CQ17" s="676" t="n"/>
      <c r="CR17" s="676" t="n"/>
      <c r="CS17" s="676" t="n"/>
      <c r="CT17" s="676" t="n"/>
      <c r="CU17" s="676" t="n"/>
      <c r="CV17" s="676" t="n"/>
      <c r="CW17" s="676" t="n"/>
      <c r="CX17" s="676" t="n"/>
      <c r="CY17" s="672" t="n"/>
      <c r="CZ17" s="673" t="n"/>
      <c r="DA17" s="674" t="n"/>
      <c r="DB17" s="675" t="n"/>
      <c r="DC17" s="676" t="n"/>
      <c r="DD17" s="676" t="n"/>
      <c r="DE17" s="676" t="n"/>
      <c r="DF17" s="676" t="n"/>
      <c r="DG17" s="676" t="n"/>
      <c r="DH17" s="676" t="n"/>
      <c r="DI17" s="676" t="n"/>
      <c r="DJ17" s="676" t="n"/>
      <c r="DK17" s="676" t="n"/>
      <c r="DL17" s="676" t="n"/>
      <c r="DM17" s="676" t="n"/>
      <c r="DN17" s="676" t="n"/>
      <c r="DO17" s="676" t="n"/>
      <c r="DP17" s="676" t="n"/>
      <c r="DQ17" s="676" t="n"/>
      <c r="DR17" s="676" t="n"/>
      <c r="DS17" s="676" t="n"/>
      <c r="DT17" s="676" t="n"/>
      <c r="DU17" s="676" t="n"/>
      <c r="DV17" s="676" t="n"/>
      <c r="DW17" s="676" t="n"/>
      <c r="DX17" s="676" t="n"/>
      <c r="DY17" s="676" t="n"/>
      <c r="DZ17" s="676" t="n"/>
      <c r="EA17" s="676" t="n"/>
      <c r="EB17" s="676" t="n"/>
      <c r="EC17" s="676" t="n"/>
      <c r="ED17" s="676" t="n"/>
      <c r="EE17" s="676" t="n"/>
      <c r="EF17" s="676" t="n"/>
      <c r="EG17" s="672" t="n"/>
      <c r="EH17" s="673" t="n"/>
      <c r="EI17" s="674" t="n"/>
      <c r="EJ17" s="675" t="n"/>
      <c r="EK17" s="676" t="n"/>
      <c r="EL17" s="676" t="n"/>
      <c r="EM17" s="676" t="n"/>
      <c r="EN17" s="676" t="n"/>
      <c r="EO17" s="676" t="n"/>
      <c r="EP17" s="676" t="n"/>
      <c r="EQ17" s="676" t="n"/>
      <c r="ER17" s="676" t="n"/>
      <c r="ES17" s="676" t="n"/>
      <c r="ET17" s="676" t="n"/>
      <c r="EU17" s="676" t="n"/>
      <c r="EV17" s="676" t="n"/>
      <c r="EW17" s="676" t="n"/>
      <c r="EX17" s="676" t="n"/>
      <c r="EY17" s="676" t="n"/>
      <c r="EZ17" s="676" t="n"/>
      <c r="FA17" s="676" t="n"/>
      <c r="FB17" s="676" t="n"/>
      <c r="FC17" s="676" t="n"/>
      <c r="FD17" s="676" t="n"/>
      <c r="FE17" s="676" t="n"/>
      <c r="FF17" s="676" t="n"/>
      <c r="FG17" s="676" t="n"/>
      <c r="FH17" s="676" t="n"/>
      <c r="FI17" s="676" t="n"/>
      <c r="FJ17" s="676" t="n"/>
      <c r="FK17" s="676" t="n"/>
      <c r="FL17" s="676" t="n"/>
      <c r="FM17" s="676" t="n"/>
      <c r="FN17" s="676" t="n"/>
      <c r="FO17" s="672" t="n"/>
      <c r="FP17" s="673" t="n"/>
      <c r="FQ17" s="674" t="n"/>
      <c r="FR17" s="675" t="n"/>
      <c r="FS17" s="676" t="n"/>
      <c r="FT17" s="676" t="n"/>
      <c r="FU17" s="676" t="n"/>
      <c r="FV17" s="676" t="n"/>
      <c r="FW17" s="676" t="n"/>
      <c r="FX17" s="676" t="n"/>
      <c r="FY17" s="676" t="n"/>
      <c r="FZ17" s="676" t="n"/>
      <c r="GA17" s="676" t="n"/>
      <c r="GB17" s="676" t="n"/>
      <c r="GC17" s="676" t="n"/>
      <c r="GD17" s="676" t="n"/>
      <c r="GE17" s="676" t="n"/>
      <c r="GF17" s="676" t="n"/>
      <c r="GG17" s="676" t="n"/>
      <c r="GH17" s="676" t="n"/>
      <c r="GI17" s="676" t="n"/>
      <c r="GJ17" s="676" t="n"/>
      <c r="GK17" s="676" t="n"/>
      <c r="GL17" s="676" t="n"/>
      <c r="GM17" s="676" t="n"/>
      <c r="GN17" s="676" t="n"/>
      <c r="GO17" s="676" t="n"/>
      <c r="GP17" s="676" t="n"/>
      <c r="GQ17" s="676" t="n"/>
      <c r="GR17" s="676" t="n"/>
      <c r="GS17" s="676" t="n"/>
      <c r="GT17" s="676" t="n"/>
      <c r="GU17" s="676" t="n"/>
      <c r="GV17" s="676" t="n"/>
      <c r="GW17" s="672" t="n"/>
      <c r="GX17" s="673" t="n"/>
      <c r="GY17" s="67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0">
      <formula>AND($C9&lt;&gt;"",D$7=$C9,D$4=1)</formula>
    </cfRule>
    <cfRule type="expression" priority="16" dxfId="19">
      <formula>OR('มาเรียน-ภ1'!D9="ข",'มาเรียน-ภ1'!D9="ล",'มาเรียน-ภ1'!D9="ป")</formula>
    </cfRule>
  </conditionalFormatting>
  <dataValidations count="7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FR9:GV13" showDropDown="0" showInputMessage="0" showErrorMessage="0" allowBlank="1" errorTitle="ตรวจสอบข้อมูล" error="ใช้รหัส: ✓  ✗" type="list">
      <formula1>"✓,✗"</formula1>
    </dataValidation>
    <dataValidation sqref="C9:C13" showDropDown="0" showInputMessage="0" showErrorMessage="0" allowBlank="1" errorTitle="ตรวจสอบข้อมูล" error="ข้อมูลไม่ถูกต้อง กรุณาเลือกจากรายการ" type="list">
      <formula1>"จ.,อ.,พ.,พฤ.,ศ."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tabColor rgb="0063D9B6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6.2" customWidth="1" min="35" max="35"/>
    <col width="6.2" customWidth="1" min="36" max="36"/>
    <col width="6.2" customWidth="1" min="37" max="37"/>
    <col width="3.3" customWidth="1" min="38" max="38"/>
    <col width="3.3" customWidth="1" min="39" max="39"/>
    <col width="3.3" customWidth="1" min="40" max="40"/>
    <col width="3.3" customWidth="1" min="41" max="41"/>
    <col width="3.3" customWidth="1" min="42" max="42"/>
    <col width="3.3" customWidth="1" min="43" max="43"/>
    <col width="3.3" customWidth="1" min="44" max="44"/>
    <col width="3.3" customWidth="1" min="45" max="45"/>
    <col width="3.3" customWidth="1" min="46" max="46"/>
    <col width="3.3" customWidth="1" min="47" max="47"/>
    <col width="3.3" customWidth="1" min="48" max="48"/>
    <col width="3.3" customWidth="1" min="49" max="49"/>
    <col width="3.3" customWidth="1" min="50" max="50"/>
    <col width="3.3" customWidth="1" min="51" max="51"/>
    <col width="3.3" customWidth="1" min="52" max="52"/>
    <col width="3.3" customWidth="1" min="53" max="53"/>
    <col width="3.3" customWidth="1" min="54" max="54"/>
    <col width="3.3" customWidth="1" min="55" max="55"/>
    <col width="3.3" customWidth="1" min="56" max="56"/>
    <col width="3.3" customWidth="1" min="57" max="57"/>
    <col width="3.3" customWidth="1" min="58" max="58"/>
    <col width="3.3" customWidth="1" min="59" max="59"/>
    <col width="3.3" customWidth="1" min="60" max="60"/>
    <col width="3.3" customWidth="1" min="61" max="61"/>
    <col width="3.3" customWidth="1" min="62" max="62"/>
    <col width="3.3" customWidth="1" min="63" max="63"/>
    <col width="3.3" customWidth="1" min="64" max="64"/>
    <col width="3.3" customWidth="1" min="65" max="65"/>
    <col width="3.3" customWidth="1" min="66" max="66"/>
    <col width="3.3" customWidth="1" min="67" max="67"/>
    <col width="3.3" customWidth="1" min="68" max="68"/>
    <col width="6.2" customWidth="1" min="69" max="69"/>
    <col width="6.2" customWidth="1" min="70" max="70"/>
    <col width="6.2" customWidth="1" min="71" max="71"/>
    <col width="3.3" customWidth="1" min="72" max="72"/>
    <col width="3.3" customWidth="1" min="73" max="73"/>
    <col width="3.3" customWidth="1" min="74" max="74"/>
    <col width="3.3" customWidth="1" min="75" max="75"/>
    <col width="3.3" customWidth="1" min="76" max="76"/>
    <col width="3.3" customWidth="1" min="77" max="77"/>
    <col width="3.3" customWidth="1" min="78" max="78"/>
    <col width="3.3" customWidth="1" min="79" max="79"/>
    <col width="3.3" customWidth="1" min="80" max="80"/>
    <col width="3.3" customWidth="1" min="81" max="81"/>
    <col width="3.3" customWidth="1" min="82" max="82"/>
    <col width="3.3" customWidth="1" min="83" max="83"/>
    <col width="3.3" customWidth="1" min="84" max="84"/>
    <col width="3.3" customWidth="1" min="85" max="85"/>
    <col width="3.3" customWidth="1" min="86" max="86"/>
    <col width="3.3" customWidth="1" min="87" max="87"/>
    <col width="3.3" customWidth="1" min="88" max="88"/>
    <col width="3.3" customWidth="1" min="89" max="89"/>
    <col width="3.3" customWidth="1" min="90" max="90"/>
    <col width="3.3" customWidth="1" min="91" max="91"/>
    <col width="3.3" customWidth="1" min="92" max="92"/>
    <col width="3.3" customWidth="1" min="93" max="93"/>
    <col width="3.3" customWidth="1" min="94" max="94"/>
    <col width="3.3" customWidth="1" min="95" max="95"/>
    <col width="3.3" customWidth="1" min="96" max="96"/>
    <col width="3.3" customWidth="1" min="97" max="97"/>
    <col width="3.3" customWidth="1" min="98" max="98"/>
    <col width="3.3" customWidth="1" min="99" max="99"/>
    <col width="3.3" customWidth="1" min="100" max="100"/>
    <col width="3.3" customWidth="1" min="101" max="101"/>
    <col width="3.3" customWidth="1" min="102" max="102"/>
    <col width="6.2" customWidth="1" min="103" max="103"/>
    <col width="6.2" customWidth="1" min="104" max="104"/>
    <col width="6.2" customWidth="1" min="105" max="105"/>
    <col width="3.3" customWidth="1" min="106" max="106"/>
    <col width="3.3" customWidth="1" min="107" max="107"/>
    <col width="3.3" customWidth="1" min="108" max="108"/>
    <col width="3.3" customWidth="1" min="109" max="109"/>
    <col width="3.3" customWidth="1" min="110" max="110"/>
    <col width="3.3" customWidth="1" min="111" max="111"/>
    <col width="3.3" customWidth="1" min="112" max="112"/>
    <col width="3.3" customWidth="1" min="113" max="113"/>
    <col width="3.3" customWidth="1" min="114" max="114"/>
    <col width="3.3" customWidth="1" min="115" max="115"/>
    <col width="3.3" customWidth="1" min="116" max="116"/>
    <col width="3.3" customWidth="1" min="117" max="117"/>
    <col width="3.3" customWidth="1" min="118" max="118"/>
    <col width="3.3" customWidth="1" min="119" max="119"/>
    <col width="3.3" customWidth="1" min="120" max="120"/>
    <col width="3.3" customWidth="1" min="121" max="121"/>
    <col width="3.3" customWidth="1" min="122" max="122"/>
    <col width="3.3" customWidth="1" min="123" max="123"/>
    <col width="3.3" customWidth="1" min="124" max="124"/>
    <col width="3.3" customWidth="1" min="125" max="125"/>
    <col width="3.3" customWidth="1" min="126" max="126"/>
    <col width="3.3" customWidth="1" min="127" max="127"/>
    <col width="3.3" customWidth="1" min="128" max="128"/>
    <col width="3.3" customWidth="1" min="129" max="129"/>
    <col width="3.3" customWidth="1" min="130" max="130"/>
    <col width="3.3" customWidth="1" min="131" max="131"/>
    <col width="3.3" customWidth="1" min="132" max="132"/>
    <col width="3.3" customWidth="1" min="133" max="133"/>
    <col width="3.3" customWidth="1" min="134" max="134"/>
    <col width="3.3" customWidth="1" min="135" max="135"/>
    <col width="3.3" customWidth="1" min="136" max="136"/>
    <col width="6.2" customWidth="1" min="137" max="137"/>
    <col width="6.2" customWidth="1" min="138" max="138"/>
    <col width="6.2" customWidth="1" min="139" max="139"/>
    <col width="3.3" customWidth="1" min="140" max="140"/>
    <col width="3.3" customWidth="1" min="141" max="141"/>
    <col width="3.3" customWidth="1" min="142" max="142"/>
    <col width="3.3" customWidth="1" min="143" max="143"/>
    <col width="3.3" customWidth="1" min="144" max="144"/>
    <col width="3.3" customWidth="1" min="145" max="145"/>
    <col width="3.3" customWidth="1" min="146" max="146"/>
    <col width="3.3" customWidth="1" min="147" max="147"/>
    <col width="3.3" customWidth="1" min="148" max="148"/>
    <col width="3.3" customWidth="1" min="149" max="149"/>
    <col width="3.3" customWidth="1" min="150" max="150"/>
    <col width="3.3" customWidth="1" min="151" max="151"/>
    <col width="3.3" customWidth="1" min="152" max="152"/>
    <col width="3.3" customWidth="1" min="153" max="153"/>
    <col width="3.3" customWidth="1" min="154" max="154"/>
    <col width="3.3" customWidth="1" min="155" max="155"/>
    <col width="3.3" customWidth="1" min="156" max="156"/>
    <col width="3.3" customWidth="1" min="157" max="157"/>
    <col width="3.3" customWidth="1" min="158" max="158"/>
    <col width="3.3" customWidth="1" min="159" max="159"/>
    <col width="3.3" customWidth="1" min="160" max="160"/>
    <col width="3.3" customWidth="1" min="161" max="161"/>
    <col width="3.3" customWidth="1" min="162" max="162"/>
    <col width="3.3" customWidth="1" min="163" max="163"/>
    <col width="3.3" customWidth="1" min="164" max="164"/>
    <col width="3.3" customWidth="1" min="165" max="165"/>
    <col width="3.3" customWidth="1" min="166" max="166"/>
    <col width="3.3" customWidth="1" min="167" max="167"/>
    <col width="3.3" customWidth="1" min="168" max="168"/>
    <col width="3.3" customWidth="1" min="169" max="169"/>
    <col width="3.3" customWidth="1" min="170" max="170"/>
    <col width="6.2" customWidth="1" min="171" max="171"/>
    <col width="6.2" customWidth="1" min="172" max="172"/>
    <col width="6.2" customWidth="1" min="173" max="173"/>
  </cols>
  <sheetData>
    <row r="1" ht="48" customHeight="1">
      <c r="A1" s="646" t="inlineStr">
        <is>
          <t>🏠</t>
        </is>
      </c>
      <c r="B1" s="647" t="n"/>
      <c r="C1" s="647" t="n"/>
      <c r="D1" s="647" t="n"/>
      <c r="E1" s="647" t="n"/>
      <c r="F1" s="647" t="n"/>
      <c r="G1" s="647" t="n"/>
      <c r="H1" s="647" t="n"/>
      <c r="I1" s="647" t="n"/>
      <c r="J1" s="647" t="n"/>
      <c r="K1" s="647" t="n"/>
      <c r="L1" s="647" t="n"/>
      <c r="M1" s="647" t="n"/>
      <c r="N1" s="647" t="n"/>
      <c r="O1" s="647" t="n"/>
      <c r="P1" s="647" t="n"/>
      <c r="Q1" s="647" t="n"/>
      <c r="R1" s="647" t="n"/>
      <c r="S1" s="647" t="n"/>
      <c r="T1" s="647" t="n"/>
      <c r="U1" s="647" t="n"/>
      <c r="V1" s="647" t="n"/>
      <c r="W1" s="647" t="n"/>
      <c r="X1" s="647" t="n"/>
      <c r="Y1" s="647" t="n"/>
      <c r="Z1" s="647" t="n"/>
      <c r="AA1" s="647" t="n"/>
      <c r="AB1" s="647" t="n"/>
      <c r="AC1" s="647" t="n"/>
      <c r="AD1" s="647" t="n"/>
      <c r="AE1" s="647" t="n"/>
      <c r="AF1" s="647" t="n"/>
      <c r="AG1" s="647" t="n"/>
      <c r="AH1" s="647" t="n"/>
      <c r="AI1" s="647" t="n"/>
      <c r="AJ1" s="647" t="n"/>
      <c r="AK1" s="647" t="n"/>
      <c r="AL1" s="647" t="n"/>
      <c r="AM1" s="647" t="n"/>
      <c r="AN1" s="647" t="n"/>
      <c r="AO1" s="647" t="n"/>
      <c r="AP1" s="647" t="n"/>
      <c r="AQ1" s="647" t="n"/>
      <c r="AR1" s="647" t="n"/>
      <c r="AS1" s="647" t="n"/>
      <c r="AT1" s="647" t="n"/>
      <c r="AU1" s="647" t="n"/>
      <c r="AV1" s="647" t="n"/>
      <c r="AW1" s="647" t="n"/>
      <c r="AX1" s="647" t="n"/>
      <c r="AY1" s="647" t="n"/>
      <c r="AZ1" s="647" t="n"/>
      <c r="BA1" s="647" t="n"/>
      <c r="BB1" s="647" t="n"/>
      <c r="BC1" s="647" t="n"/>
      <c r="BD1" s="647" t="n"/>
      <c r="BE1" s="647" t="n"/>
      <c r="BF1" s="647" t="n"/>
      <c r="BG1" s="647" t="n"/>
      <c r="BH1" s="647" t="n"/>
      <c r="BI1" s="647" t="n"/>
      <c r="BJ1" s="647" t="n"/>
      <c r="BK1" s="647" t="n"/>
      <c r="BL1" s="647" t="n"/>
      <c r="BM1" s="647" t="n"/>
      <c r="BN1" s="647" t="n"/>
      <c r="BO1" s="647" t="n"/>
      <c r="BP1" s="647" t="n"/>
      <c r="BQ1" s="647" t="n"/>
      <c r="BR1" s="647" t="n"/>
      <c r="BS1" s="647" t="n"/>
      <c r="BT1" s="647" t="n"/>
      <c r="BU1" s="647" t="n"/>
      <c r="BV1" s="647" t="n"/>
      <c r="BW1" s="647" t="n"/>
      <c r="BX1" s="647" t="n"/>
      <c r="BY1" s="647" t="n"/>
      <c r="BZ1" s="647" t="n"/>
      <c r="CA1" s="647" t="n"/>
      <c r="CB1" s="647" t="n"/>
      <c r="CC1" s="647" t="n"/>
      <c r="CD1" s="647" t="n"/>
      <c r="CE1" s="647" t="n"/>
      <c r="CF1" s="647" t="n"/>
      <c r="CG1" s="647" t="n"/>
      <c r="CH1" s="647" t="n"/>
      <c r="CI1" s="647" t="n"/>
      <c r="CJ1" s="647" t="n"/>
      <c r="CK1" s="647" t="n"/>
      <c r="CL1" s="647" t="n"/>
      <c r="CM1" s="647" t="n"/>
      <c r="CN1" s="647" t="n"/>
      <c r="CO1" s="647" t="n"/>
      <c r="CP1" s="647" t="n"/>
      <c r="CQ1" s="647" t="n"/>
      <c r="CR1" s="647" t="n"/>
      <c r="CS1" s="647" t="n"/>
      <c r="CT1" s="647" t="n"/>
      <c r="CU1" s="647" t="n"/>
      <c r="CV1" s="647" t="n"/>
      <c r="CW1" s="647" t="n"/>
      <c r="CX1" s="647" t="n"/>
      <c r="CY1" s="647" t="n"/>
      <c r="CZ1" s="647" t="n"/>
      <c r="DA1" s="647" t="n"/>
      <c r="DB1" s="647" t="n"/>
      <c r="DC1" s="647" t="n"/>
      <c r="DD1" s="647" t="n"/>
      <c r="DE1" s="647" t="n"/>
      <c r="DF1" s="647" t="n"/>
      <c r="DG1" s="647" t="n"/>
      <c r="DH1" s="647" t="n"/>
      <c r="DI1" s="647" t="n"/>
      <c r="DJ1" s="647" t="n"/>
      <c r="DK1" s="647" t="n"/>
      <c r="DL1" s="647" t="n"/>
      <c r="DM1" s="647" t="n"/>
      <c r="DN1" s="647" t="n"/>
      <c r="DO1" s="647" t="n"/>
      <c r="DP1" s="647" t="n"/>
      <c r="DQ1" s="647" t="n"/>
      <c r="DR1" s="647" t="n"/>
      <c r="DS1" s="647" t="n"/>
      <c r="DT1" s="647" t="n"/>
      <c r="DU1" s="647" t="n"/>
      <c r="DV1" s="647" t="n"/>
      <c r="DW1" s="647" t="n"/>
      <c r="DX1" s="647" t="n"/>
      <c r="DY1" s="647" t="n"/>
      <c r="DZ1" s="647" t="n"/>
      <c r="EA1" s="647" t="n"/>
      <c r="EB1" s="647" t="n"/>
      <c r="EC1" s="647" t="n"/>
      <c r="ED1" s="647" t="n"/>
      <c r="EE1" s="647" t="n"/>
      <c r="EF1" s="647" t="n"/>
      <c r="EG1" s="647" t="n"/>
      <c r="EH1" s="647" t="n"/>
      <c r="EI1" s="647" t="n"/>
      <c r="EJ1" s="647" t="n"/>
      <c r="EK1" s="647" t="n"/>
      <c r="EL1" s="647" t="n"/>
      <c r="EM1" s="647" t="n"/>
      <c r="EN1" s="647" t="n"/>
      <c r="EO1" s="647" t="n"/>
      <c r="EP1" s="647" t="n"/>
      <c r="EQ1" s="647" t="n"/>
      <c r="ER1" s="647" t="n"/>
      <c r="ES1" s="647" t="n"/>
      <c r="ET1" s="647" t="n"/>
      <c r="EU1" s="647" t="n"/>
      <c r="EV1" s="647" t="n"/>
      <c r="EW1" s="647" t="n"/>
      <c r="EX1" s="647" t="n"/>
      <c r="EY1" s="647" t="n"/>
      <c r="EZ1" s="647" t="n"/>
      <c r="FA1" s="647" t="n"/>
      <c r="FB1" s="647" t="n"/>
      <c r="FC1" s="647" t="n"/>
      <c r="FD1" s="647" t="n"/>
      <c r="FE1" s="647" t="n"/>
      <c r="FF1" s="647" t="n"/>
      <c r="FG1" s="647" t="n"/>
      <c r="FH1" s="647" t="n"/>
      <c r="FI1" s="647" t="n"/>
      <c r="FJ1" s="647" t="n"/>
      <c r="FK1" s="647" t="n"/>
      <c r="FL1" s="647" t="n"/>
      <c r="FM1" s="647" t="n"/>
      <c r="FN1" s="647" t="n"/>
      <c r="FO1" s="647" t="n"/>
      <c r="FP1" s="647" t="n"/>
      <c r="FQ1" s="647" t="n"/>
    </row>
    <row r="2" ht="20" customHeight="1">
      <c r="A2" s="648" t="inlineStr">
        <is>
          <t>หน้าหลัก</t>
        </is>
      </c>
      <c r="B2" s="649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50" t="n"/>
      <c r="D2" s="650" t="n"/>
      <c r="E2" s="650" t="n"/>
      <c r="F2" s="650" t="n"/>
      <c r="G2" s="650" t="n"/>
      <c r="H2" s="650" t="n"/>
      <c r="I2" s="650" t="n"/>
      <c r="J2" s="650" t="n"/>
      <c r="K2" s="650" t="n"/>
      <c r="L2" s="650" t="n"/>
      <c r="M2" s="650" t="n"/>
      <c r="N2" s="650" t="n"/>
      <c r="O2" s="650" t="n"/>
      <c r="P2" s="650" t="n"/>
      <c r="Q2" s="650" t="n"/>
      <c r="R2" s="650" t="n"/>
      <c r="S2" s="650" t="n"/>
      <c r="T2" s="650" t="n"/>
      <c r="U2" s="650" t="n"/>
      <c r="V2" s="650" t="n"/>
      <c r="W2" s="650" t="n"/>
      <c r="X2" s="650" t="n"/>
      <c r="Y2" s="650" t="n"/>
      <c r="Z2" s="650" t="n"/>
      <c r="AA2" s="650" t="n"/>
      <c r="AB2" s="650" t="n"/>
      <c r="AC2" s="650" t="n"/>
      <c r="AD2" s="650" t="n"/>
      <c r="AE2" s="650" t="n"/>
      <c r="AF2" s="650" t="n"/>
      <c r="AG2" s="650" t="n"/>
      <c r="AH2" s="650" t="n"/>
      <c r="AI2" s="650" t="n"/>
      <c r="AJ2" s="650" t="n"/>
      <c r="AK2" s="650" t="n"/>
      <c r="AL2" s="650" t="n"/>
      <c r="AM2" s="650" t="n"/>
      <c r="AN2" s="650" t="n"/>
      <c r="AO2" s="650" t="n"/>
      <c r="AP2" s="650" t="n"/>
      <c r="AQ2" s="650" t="n"/>
      <c r="AR2" s="650" t="n"/>
      <c r="AS2" s="650" t="n"/>
      <c r="AT2" s="650" t="n"/>
      <c r="AU2" s="650" t="n"/>
      <c r="AV2" s="650" t="n"/>
      <c r="AW2" s="650" t="n"/>
      <c r="AX2" s="650" t="n"/>
      <c r="AY2" s="650" t="n"/>
      <c r="AZ2" s="650" t="n"/>
      <c r="BA2" s="650" t="n"/>
      <c r="BB2" s="650" t="n"/>
      <c r="BC2" s="650" t="n"/>
      <c r="BD2" s="650" t="n"/>
      <c r="BE2" s="650" t="n"/>
      <c r="BF2" s="650" t="n"/>
      <c r="BG2" s="650" t="n"/>
      <c r="BH2" s="650" t="n"/>
      <c r="BI2" s="650" t="n"/>
      <c r="BJ2" s="650" t="n"/>
      <c r="BK2" s="650" t="n"/>
      <c r="BL2" s="650" t="n"/>
      <c r="BM2" s="650" t="n"/>
      <c r="BN2" s="650" t="n"/>
      <c r="BO2" s="650" t="n"/>
      <c r="BP2" s="650" t="n"/>
      <c r="BQ2" s="650" t="n"/>
      <c r="BR2" s="650" t="n"/>
      <c r="BS2" s="650" t="n"/>
      <c r="BT2" s="650" t="n"/>
      <c r="BU2" s="650" t="n"/>
      <c r="BV2" s="650" t="n"/>
      <c r="BW2" s="650" t="n"/>
      <c r="BX2" s="650" t="n"/>
      <c r="BY2" s="650" t="n"/>
      <c r="BZ2" s="650" t="n"/>
      <c r="CA2" s="650" t="n"/>
      <c r="CB2" s="650" t="n"/>
      <c r="CC2" s="650" t="n"/>
      <c r="CD2" s="650" t="n"/>
      <c r="CE2" s="650" t="n"/>
      <c r="CF2" s="650" t="n"/>
      <c r="CG2" s="650" t="n"/>
      <c r="CH2" s="650" t="n"/>
      <c r="CI2" s="650" t="n"/>
      <c r="CJ2" s="650" t="n"/>
      <c r="CK2" s="650" t="n"/>
      <c r="CL2" s="650" t="n"/>
      <c r="CM2" s="650" t="n"/>
      <c r="CN2" s="650" t="n"/>
      <c r="CO2" s="650" t="n"/>
      <c r="CP2" s="650" t="n"/>
      <c r="CQ2" s="650" t="n"/>
      <c r="CR2" s="650" t="n"/>
      <c r="CS2" s="650" t="n"/>
      <c r="CT2" s="650" t="n"/>
      <c r="CU2" s="650" t="n"/>
      <c r="CV2" s="650" t="n"/>
      <c r="CW2" s="650" t="n"/>
      <c r="CX2" s="650" t="n"/>
      <c r="CY2" s="650" t="n"/>
      <c r="CZ2" s="650" t="n"/>
      <c r="DA2" s="650" t="n"/>
      <c r="DB2" s="650" t="n"/>
      <c r="DC2" s="650" t="n"/>
      <c r="DD2" s="650" t="n"/>
      <c r="DE2" s="650" t="n"/>
      <c r="DF2" s="650" t="n"/>
      <c r="DG2" s="650" t="n"/>
      <c r="DH2" s="650" t="n"/>
      <c r="DI2" s="650" t="n"/>
      <c r="DJ2" s="650" t="n"/>
      <c r="DK2" s="650" t="n"/>
      <c r="DL2" s="650" t="n"/>
      <c r="DM2" s="650" t="n"/>
      <c r="DN2" s="650" t="n"/>
      <c r="DO2" s="650" t="n"/>
      <c r="DP2" s="650" t="n"/>
      <c r="DQ2" s="650" t="n"/>
      <c r="DR2" s="650" t="n"/>
      <c r="DS2" s="650" t="n"/>
      <c r="DT2" s="650" t="n"/>
      <c r="DU2" s="650" t="n"/>
      <c r="DV2" s="650" t="n"/>
      <c r="DW2" s="650" t="n"/>
      <c r="DX2" s="650" t="n"/>
      <c r="DY2" s="650" t="n"/>
      <c r="DZ2" s="650" t="n"/>
      <c r="EA2" s="650" t="n"/>
      <c r="EB2" s="650" t="n"/>
      <c r="EC2" s="650" t="n"/>
      <c r="ED2" s="650" t="n"/>
      <c r="EE2" s="650" t="n"/>
      <c r="EF2" s="650" t="n"/>
      <c r="EG2" s="650" t="n"/>
      <c r="EH2" s="650" t="n"/>
      <c r="EI2" s="650" t="n"/>
      <c r="EJ2" s="650" t="n"/>
      <c r="EK2" s="650" t="n"/>
      <c r="EL2" s="650" t="n"/>
      <c r="EM2" s="650" t="n"/>
      <c r="EN2" s="650" t="n"/>
      <c r="EO2" s="650" t="n"/>
      <c r="EP2" s="650" t="n"/>
      <c r="EQ2" s="650" t="n"/>
      <c r="ER2" s="650" t="n"/>
      <c r="ES2" s="650" t="n"/>
      <c r="ET2" s="650" t="n"/>
      <c r="EU2" s="650" t="n"/>
      <c r="EV2" s="650" t="n"/>
      <c r="EW2" s="650" t="n"/>
      <c r="EX2" s="650" t="n"/>
      <c r="EY2" s="650" t="n"/>
      <c r="EZ2" s="650" t="n"/>
      <c r="FA2" s="650" t="n"/>
      <c r="FB2" s="650" t="n"/>
      <c r="FC2" s="650" t="n"/>
      <c r="FD2" s="650" t="n"/>
      <c r="FE2" s="650" t="n"/>
      <c r="FF2" s="650" t="n"/>
      <c r="FG2" s="650" t="n"/>
      <c r="FH2" s="650" t="n"/>
      <c r="FI2" s="650" t="n"/>
      <c r="FJ2" s="650" t="n"/>
      <c r="FK2" s="650" t="n"/>
      <c r="FL2" s="650" t="n"/>
      <c r="FM2" s="650" t="n"/>
      <c r="FN2" s="650" t="n"/>
      <c r="FO2" s="650" t="n"/>
      <c r="FP2" s="650" t="n"/>
      <c r="FQ2" s="650" t="n"/>
    </row>
    <row r="3" ht="18" customHeight="1">
      <c r="B3" s="651" t="inlineStr">
        <is>
          <t>✓ = ทำเวร     ✗ = ไม่ทำ      •   ช่องสีเขียวอ่อน = วันเวรของนักเรียน (กำหนดในคอลัมน์ C)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652" t="inlineStr">
        <is>
          <t>เลขที่</t>
        </is>
      </c>
      <c r="B5" s="652" t="inlineStr">
        <is>
          <t>ชื่อ - สกุล</t>
        </is>
      </c>
      <c r="C5" s="653" t="inlineStr">
        <is>
          <t>เวร
ประจำ
วัน</t>
        </is>
      </c>
      <c r="D5" s="654">
        <f>"เดือนพฤศจิกายน  พ.ศ. "&amp;('ข้อมูลโรงเรียน'!$C$12-543+543)</f>
        <v/>
      </c>
      <c r="AI5" s="655" t="inlineStr">
        <is>
          <t>สรุป พ.ย.</t>
        </is>
      </c>
      <c r="AL5" s="654">
        <f>"เดือนธันวาคม  พ.ศ. "&amp;('ข้อมูลโรงเรียน'!$C$12-543+543)</f>
        <v/>
      </c>
      <c r="BQ5" s="655" t="inlineStr">
        <is>
          <t>สรุป ธ.ค.</t>
        </is>
      </c>
      <c r="BT5" s="654">
        <f>"เดือนมกราคม  พ.ศ. "&amp;('ข้อมูลโรงเรียน'!$C$12-542+543)</f>
        <v/>
      </c>
      <c r="CY5" s="655" t="inlineStr">
        <is>
          <t>สรุป ม.ค.</t>
        </is>
      </c>
      <c r="DB5" s="654">
        <f>"เดือนกุมภาพันธ์  พ.ศ. "&amp;('ข้อมูลโรงเรียน'!$C$12-542+543)</f>
        <v/>
      </c>
      <c r="EG5" s="655" t="inlineStr">
        <is>
          <t>สรุป ก.พ.</t>
        </is>
      </c>
      <c r="EJ5" s="654">
        <f>"เดือนมีนาคม  พ.ศ. "&amp;('ข้อมูลโรงเรียน'!$C$12-542+543)</f>
        <v/>
      </c>
      <c r="FO5" s="655" t="inlineStr">
        <is>
          <t>สรุป มี.ค.</t>
        </is>
      </c>
    </row>
    <row r="6">
      <c r="D6" s="656">
        <f>IF('ปฏิทิน'!D5="","",DAY('ปฏิทิน'!D5))</f>
        <v/>
      </c>
      <c r="E6" s="653">
        <f>IF('ปฏิทิน'!E5="","",DAY('ปฏิทิน'!E5))</f>
        <v/>
      </c>
      <c r="F6" s="653">
        <f>IF('ปฏิทิน'!F5="","",DAY('ปฏิทิน'!F5))</f>
        <v/>
      </c>
      <c r="G6" s="653">
        <f>IF('ปฏิทิน'!G5="","",DAY('ปฏิทิน'!G5))</f>
        <v/>
      </c>
      <c r="H6" s="653">
        <f>IF('ปฏิทิน'!H5="","",DAY('ปฏิทิน'!H5))</f>
        <v/>
      </c>
      <c r="I6" s="653">
        <f>IF('ปฏิทิน'!I5="","",DAY('ปฏิทิน'!I5))</f>
        <v/>
      </c>
      <c r="J6" s="653">
        <f>IF('ปฏิทิน'!J5="","",DAY('ปฏิทิน'!J5))</f>
        <v/>
      </c>
      <c r="K6" s="653">
        <f>IF('ปฏิทิน'!K5="","",DAY('ปฏิทิน'!K5))</f>
        <v/>
      </c>
      <c r="L6" s="653">
        <f>IF('ปฏิทิน'!L5="","",DAY('ปฏิทิน'!L5))</f>
        <v/>
      </c>
      <c r="M6" s="653">
        <f>IF('ปฏิทิน'!M5="","",DAY('ปฏิทิน'!M5))</f>
        <v/>
      </c>
      <c r="N6" s="653">
        <f>IF('ปฏิทิน'!N5="","",DAY('ปฏิทิน'!N5))</f>
        <v/>
      </c>
      <c r="O6" s="653">
        <f>IF('ปฏิทิน'!O5="","",DAY('ปฏิทิน'!O5))</f>
        <v/>
      </c>
      <c r="P6" s="653">
        <f>IF('ปฏิทิน'!P5="","",DAY('ปฏิทิน'!P5))</f>
        <v/>
      </c>
      <c r="Q6" s="653">
        <f>IF('ปฏิทิน'!Q5="","",DAY('ปฏิทิน'!Q5))</f>
        <v/>
      </c>
      <c r="R6" s="653">
        <f>IF('ปฏิทิน'!R5="","",DAY('ปฏิทิน'!R5))</f>
        <v/>
      </c>
      <c r="S6" s="653">
        <f>IF('ปฏิทิน'!S5="","",DAY('ปฏิทิน'!S5))</f>
        <v/>
      </c>
      <c r="T6" s="653">
        <f>IF('ปฏิทิน'!T5="","",DAY('ปฏิทิน'!T5))</f>
        <v/>
      </c>
      <c r="U6" s="653">
        <f>IF('ปฏิทิน'!U5="","",DAY('ปฏิทิน'!U5))</f>
        <v/>
      </c>
      <c r="V6" s="653">
        <f>IF('ปฏิทิน'!V5="","",DAY('ปฏิทิน'!V5))</f>
        <v/>
      </c>
      <c r="W6" s="653">
        <f>IF('ปฏิทิน'!W5="","",DAY('ปฏิทิน'!W5))</f>
        <v/>
      </c>
      <c r="X6" s="653">
        <f>IF('ปฏิทิน'!X5="","",DAY('ปฏิทิน'!X5))</f>
        <v/>
      </c>
      <c r="Y6" s="653">
        <f>IF('ปฏิทิน'!Y5="","",DAY('ปฏิทิน'!Y5))</f>
        <v/>
      </c>
      <c r="Z6" s="653">
        <f>IF('ปฏิทิน'!Z5="","",DAY('ปฏิทิน'!Z5))</f>
        <v/>
      </c>
      <c r="AA6" s="653">
        <f>IF('ปฏิทิน'!AA5="","",DAY('ปฏิทิน'!AA5))</f>
        <v/>
      </c>
      <c r="AB6" s="653">
        <f>IF('ปฏิทิน'!AB5="","",DAY('ปฏิทิน'!AB5))</f>
        <v/>
      </c>
      <c r="AC6" s="653">
        <f>IF('ปฏิทิน'!AC5="","",DAY('ปฏิทิน'!AC5))</f>
        <v/>
      </c>
      <c r="AD6" s="653">
        <f>IF('ปฏิทิน'!AD5="","",DAY('ปฏิทิน'!AD5))</f>
        <v/>
      </c>
      <c r="AE6" s="653">
        <f>IF('ปฏิทิน'!AE5="","",DAY('ปฏิทิน'!AE5))</f>
        <v/>
      </c>
      <c r="AF6" s="653">
        <f>IF('ปฏิทิน'!AF5="","",DAY('ปฏิทิน'!AF5))</f>
        <v/>
      </c>
      <c r="AG6" s="653">
        <f>IF('ปฏิทิน'!AG5="","",DAY('ปฏิทิน'!AG5))</f>
        <v/>
      </c>
      <c r="AH6" s="653">
        <f>IF('ปฏิทิน'!AH5="","",DAY('ปฏิทิน'!AH5))</f>
        <v/>
      </c>
      <c r="AI6" s="657" t="inlineStr">
        <is>
          <t>ทำ</t>
        </is>
      </c>
      <c r="AJ6" s="658" t="inlineStr">
        <is>
          <t>ไม่
ทำ</t>
        </is>
      </c>
      <c r="AK6" s="659" t="inlineStr">
        <is>
          <t>ร้อยละ</t>
        </is>
      </c>
      <c r="AL6" s="656">
        <f>IF('ปฏิทิน'!AL5="","",DAY('ปฏิทิน'!AL5))</f>
        <v/>
      </c>
      <c r="AM6" s="653">
        <f>IF('ปฏิทิน'!AM5="","",DAY('ปฏิทิน'!AM5))</f>
        <v/>
      </c>
      <c r="AN6" s="653">
        <f>IF('ปฏิทิน'!AN5="","",DAY('ปฏิทิน'!AN5))</f>
        <v/>
      </c>
      <c r="AO6" s="653">
        <f>IF('ปฏิทิน'!AO5="","",DAY('ปฏิทิน'!AO5))</f>
        <v/>
      </c>
      <c r="AP6" s="653">
        <f>IF('ปฏิทิน'!AP5="","",DAY('ปฏิทิน'!AP5))</f>
        <v/>
      </c>
      <c r="AQ6" s="653">
        <f>IF('ปฏิทิน'!AQ5="","",DAY('ปฏิทิน'!AQ5))</f>
        <v/>
      </c>
      <c r="AR6" s="653">
        <f>IF('ปฏิทิน'!AR5="","",DAY('ปฏิทิน'!AR5))</f>
        <v/>
      </c>
      <c r="AS6" s="653">
        <f>IF('ปฏิทิน'!AS5="","",DAY('ปฏิทิน'!AS5))</f>
        <v/>
      </c>
      <c r="AT6" s="653">
        <f>IF('ปฏิทิน'!AT5="","",DAY('ปฏิทิน'!AT5))</f>
        <v/>
      </c>
      <c r="AU6" s="653">
        <f>IF('ปฏิทิน'!AU5="","",DAY('ปฏิทิน'!AU5))</f>
        <v/>
      </c>
      <c r="AV6" s="653">
        <f>IF('ปฏิทิน'!AV5="","",DAY('ปฏิทิน'!AV5))</f>
        <v/>
      </c>
      <c r="AW6" s="653">
        <f>IF('ปฏิทิน'!AW5="","",DAY('ปฏิทิน'!AW5))</f>
        <v/>
      </c>
      <c r="AX6" s="653">
        <f>IF('ปฏิทิน'!AX5="","",DAY('ปฏิทิน'!AX5))</f>
        <v/>
      </c>
      <c r="AY6" s="653">
        <f>IF('ปฏิทิน'!AY5="","",DAY('ปฏิทิน'!AY5))</f>
        <v/>
      </c>
      <c r="AZ6" s="653">
        <f>IF('ปฏิทิน'!AZ5="","",DAY('ปฏิทิน'!AZ5))</f>
        <v/>
      </c>
      <c r="BA6" s="653">
        <f>IF('ปฏิทิน'!BA5="","",DAY('ปฏิทิน'!BA5))</f>
        <v/>
      </c>
      <c r="BB6" s="653">
        <f>IF('ปฏิทิน'!BB5="","",DAY('ปฏิทิน'!BB5))</f>
        <v/>
      </c>
      <c r="BC6" s="653">
        <f>IF('ปฏิทิน'!BC5="","",DAY('ปฏิทิน'!BC5))</f>
        <v/>
      </c>
      <c r="BD6" s="653">
        <f>IF('ปฏิทิน'!BD5="","",DAY('ปฏิทิน'!BD5))</f>
        <v/>
      </c>
      <c r="BE6" s="653">
        <f>IF('ปฏิทิน'!BE5="","",DAY('ปฏิทิน'!BE5))</f>
        <v/>
      </c>
      <c r="BF6" s="653">
        <f>IF('ปฏิทิน'!BF5="","",DAY('ปฏิทิน'!BF5))</f>
        <v/>
      </c>
      <c r="BG6" s="653">
        <f>IF('ปฏิทิน'!BG5="","",DAY('ปฏิทิน'!BG5))</f>
        <v/>
      </c>
      <c r="BH6" s="653">
        <f>IF('ปฏิทิน'!BH5="","",DAY('ปฏิทิน'!BH5))</f>
        <v/>
      </c>
      <c r="BI6" s="653">
        <f>IF('ปฏิทิน'!BI5="","",DAY('ปฏิทิน'!BI5))</f>
        <v/>
      </c>
      <c r="BJ6" s="653">
        <f>IF('ปฏิทิน'!BJ5="","",DAY('ปฏิทิน'!BJ5))</f>
        <v/>
      </c>
      <c r="BK6" s="653">
        <f>IF('ปฏิทิน'!BK5="","",DAY('ปฏิทิน'!BK5))</f>
        <v/>
      </c>
      <c r="BL6" s="653">
        <f>IF('ปฏิทิน'!BL5="","",DAY('ปฏิทิน'!BL5))</f>
        <v/>
      </c>
      <c r="BM6" s="653">
        <f>IF('ปฏิทิน'!BM5="","",DAY('ปฏิทิน'!BM5))</f>
        <v/>
      </c>
      <c r="BN6" s="653">
        <f>IF('ปฏิทิน'!BN5="","",DAY('ปฏิทิน'!BN5))</f>
        <v/>
      </c>
      <c r="BO6" s="653">
        <f>IF('ปฏิทิน'!BO5="","",DAY('ปฏิทิน'!BO5))</f>
        <v/>
      </c>
      <c r="BP6" s="653">
        <f>IF('ปฏิทิน'!BP5="","",DAY('ปฏิทิน'!BP5))</f>
        <v/>
      </c>
      <c r="BQ6" s="657" t="inlineStr">
        <is>
          <t>ทำ</t>
        </is>
      </c>
      <c r="BR6" s="658" t="inlineStr">
        <is>
          <t>ไม่
ทำ</t>
        </is>
      </c>
      <c r="BS6" s="659" t="inlineStr">
        <is>
          <t>ร้อยละ</t>
        </is>
      </c>
      <c r="BT6" s="656">
        <f>IF('ปฏิทิน'!BT5="","",DAY('ปฏิทิน'!BT5))</f>
        <v/>
      </c>
      <c r="BU6" s="653">
        <f>IF('ปฏิทิน'!BU5="","",DAY('ปฏิทิน'!BU5))</f>
        <v/>
      </c>
      <c r="BV6" s="653">
        <f>IF('ปฏิทิน'!BV5="","",DAY('ปฏิทิน'!BV5))</f>
        <v/>
      </c>
      <c r="BW6" s="653">
        <f>IF('ปฏิทิน'!BW5="","",DAY('ปฏิทิน'!BW5))</f>
        <v/>
      </c>
      <c r="BX6" s="653">
        <f>IF('ปฏิทิน'!BX5="","",DAY('ปฏิทิน'!BX5))</f>
        <v/>
      </c>
      <c r="BY6" s="653">
        <f>IF('ปฏิทิน'!BY5="","",DAY('ปฏิทิน'!BY5))</f>
        <v/>
      </c>
      <c r="BZ6" s="653">
        <f>IF('ปฏิทิน'!BZ5="","",DAY('ปฏิทิน'!BZ5))</f>
        <v/>
      </c>
      <c r="CA6" s="653">
        <f>IF('ปฏิทิน'!CA5="","",DAY('ปฏิทิน'!CA5))</f>
        <v/>
      </c>
      <c r="CB6" s="653">
        <f>IF('ปฏิทิน'!CB5="","",DAY('ปฏิทิน'!CB5))</f>
        <v/>
      </c>
      <c r="CC6" s="653">
        <f>IF('ปฏิทิน'!CC5="","",DAY('ปฏิทิน'!CC5))</f>
        <v/>
      </c>
      <c r="CD6" s="653">
        <f>IF('ปฏิทิน'!CD5="","",DAY('ปฏิทิน'!CD5))</f>
        <v/>
      </c>
      <c r="CE6" s="653">
        <f>IF('ปฏิทิน'!CE5="","",DAY('ปฏิทิน'!CE5))</f>
        <v/>
      </c>
      <c r="CF6" s="653">
        <f>IF('ปฏิทิน'!CF5="","",DAY('ปฏิทิน'!CF5))</f>
        <v/>
      </c>
      <c r="CG6" s="653">
        <f>IF('ปฏิทิน'!CG5="","",DAY('ปฏิทิน'!CG5))</f>
        <v/>
      </c>
      <c r="CH6" s="653">
        <f>IF('ปฏิทิน'!CH5="","",DAY('ปฏิทิน'!CH5))</f>
        <v/>
      </c>
      <c r="CI6" s="653">
        <f>IF('ปฏิทิน'!CI5="","",DAY('ปฏิทิน'!CI5))</f>
        <v/>
      </c>
      <c r="CJ6" s="653">
        <f>IF('ปฏิทิน'!CJ5="","",DAY('ปฏิทิน'!CJ5))</f>
        <v/>
      </c>
      <c r="CK6" s="653">
        <f>IF('ปฏิทิน'!CK5="","",DAY('ปฏิทิน'!CK5))</f>
        <v/>
      </c>
      <c r="CL6" s="653">
        <f>IF('ปฏิทิน'!CL5="","",DAY('ปฏิทิน'!CL5))</f>
        <v/>
      </c>
      <c r="CM6" s="653">
        <f>IF('ปฏิทิน'!CM5="","",DAY('ปฏิทิน'!CM5))</f>
        <v/>
      </c>
      <c r="CN6" s="653">
        <f>IF('ปฏิทิน'!CN5="","",DAY('ปฏิทิน'!CN5))</f>
        <v/>
      </c>
      <c r="CO6" s="653">
        <f>IF('ปฏิทิน'!CO5="","",DAY('ปฏิทิน'!CO5))</f>
        <v/>
      </c>
      <c r="CP6" s="653">
        <f>IF('ปฏิทิน'!CP5="","",DAY('ปฏิทิน'!CP5))</f>
        <v/>
      </c>
      <c r="CQ6" s="653">
        <f>IF('ปฏิทิน'!CQ5="","",DAY('ปฏิทิน'!CQ5))</f>
        <v/>
      </c>
      <c r="CR6" s="653">
        <f>IF('ปฏิทิน'!CR5="","",DAY('ปฏิทิน'!CR5))</f>
        <v/>
      </c>
      <c r="CS6" s="653">
        <f>IF('ปฏิทิน'!CS5="","",DAY('ปฏิทิน'!CS5))</f>
        <v/>
      </c>
      <c r="CT6" s="653">
        <f>IF('ปฏิทิน'!CT5="","",DAY('ปฏิทิน'!CT5))</f>
        <v/>
      </c>
      <c r="CU6" s="653">
        <f>IF('ปฏิทิน'!CU5="","",DAY('ปฏิทิน'!CU5))</f>
        <v/>
      </c>
      <c r="CV6" s="653">
        <f>IF('ปฏิทิน'!CV5="","",DAY('ปฏิทิน'!CV5))</f>
        <v/>
      </c>
      <c r="CW6" s="653">
        <f>IF('ปฏิทิน'!CW5="","",DAY('ปฏิทิน'!CW5))</f>
        <v/>
      </c>
      <c r="CX6" s="653">
        <f>IF('ปฏิทิน'!CX5="","",DAY('ปฏิทิน'!CX5))</f>
        <v/>
      </c>
      <c r="CY6" s="657" t="inlineStr">
        <is>
          <t>ทำ</t>
        </is>
      </c>
      <c r="CZ6" s="658" t="inlineStr">
        <is>
          <t>ไม่
ทำ</t>
        </is>
      </c>
      <c r="DA6" s="659" t="inlineStr">
        <is>
          <t>ร้อยละ</t>
        </is>
      </c>
      <c r="DB6" s="656">
        <f>IF('ปฏิทิน'!DB5="","",DAY('ปฏิทิน'!DB5))</f>
        <v/>
      </c>
      <c r="DC6" s="653">
        <f>IF('ปฏิทิน'!DC5="","",DAY('ปฏิทิน'!DC5))</f>
        <v/>
      </c>
      <c r="DD6" s="653">
        <f>IF('ปฏิทิน'!DD5="","",DAY('ปฏิทิน'!DD5))</f>
        <v/>
      </c>
      <c r="DE6" s="653">
        <f>IF('ปฏิทิน'!DE5="","",DAY('ปฏิทิน'!DE5))</f>
        <v/>
      </c>
      <c r="DF6" s="653">
        <f>IF('ปฏิทิน'!DF5="","",DAY('ปฏิทิน'!DF5))</f>
        <v/>
      </c>
      <c r="DG6" s="653">
        <f>IF('ปฏิทิน'!DG5="","",DAY('ปฏิทิน'!DG5))</f>
        <v/>
      </c>
      <c r="DH6" s="653">
        <f>IF('ปฏิทิน'!DH5="","",DAY('ปฏิทิน'!DH5))</f>
        <v/>
      </c>
      <c r="DI6" s="653">
        <f>IF('ปฏิทิน'!DI5="","",DAY('ปฏิทิน'!DI5))</f>
        <v/>
      </c>
      <c r="DJ6" s="653">
        <f>IF('ปฏิทิน'!DJ5="","",DAY('ปฏิทิน'!DJ5))</f>
        <v/>
      </c>
      <c r="DK6" s="653">
        <f>IF('ปฏิทิน'!DK5="","",DAY('ปฏิทิน'!DK5))</f>
        <v/>
      </c>
      <c r="DL6" s="653">
        <f>IF('ปฏิทิน'!DL5="","",DAY('ปฏิทิน'!DL5))</f>
        <v/>
      </c>
      <c r="DM6" s="653">
        <f>IF('ปฏิทิน'!DM5="","",DAY('ปฏิทิน'!DM5))</f>
        <v/>
      </c>
      <c r="DN6" s="653">
        <f>IF('ปฏิทิน'!DN5="","",DAY('ปฏิทิน'!DN5))</f>
        <v/>
      </c>
      <c r="DO6" s="653">
        <f>IF('ปฏิทิน'!DO5="","",DAY('ปฏิทิน'!DO5))</f>
        <v/>
      </c>
      <c r="DP6" s="653">
        <f>IF('ปฏิทิน'!DP5="","",DAY('ปฏิทิน'!DP5))</f>
        <v/>
      </c>
      <c r="DQ6" s="653">
        <f>IF('ปฏิทิน'!DQ5="","",DAY('ปฏิทิน'!DQ5))</f>
        <v/>
      </c>
      <c r="DR6" s="653">
        <f>IF('ปฏิทิน'!DR5="","",DAY('ปฏิทิน'!DR5))</f>
        <v/>
      </c>
      <c r="DS6" s="653">
        <f>IF('ปฏิทิน'!DS5="","",DAY('ปฏิทิน'!DS5))</f>
        <v/>
      </c>
      <c r="DT6" s="653">
        <f>IF('ปฏิทิน'!DT5="","",DAY('ปฏิทิน'!DT5))</f>
        <v/>
      </c>
      <c r="DU6" s="653">
        <f>IF('ปฏิทิน'!DU5="","",DAY('ปฏิทิน'!DU5))</f>
        <v/>
      </c>
      <c r="DV6" s="653">
        <f>IF('ปฏิทิน'!DV5="","",DAY('ปฏิทิน'!DV5))</f>
        <v/>
      </c>
      <c r="DW6" s="653">
        <f>IF('ปฏิทิน'!DW5="","",DAY('ปฏิทิน'!DW5))</f>
        <v/>
      </c>
      <c r="DX6" s="653">
        <f>IF('ปฏิทิน'!DX5="","",DAY('ปฏิทิน'!DX5))</f>
        <v/>
      </c>
      <c r="DY6" s="653">
        <f>IF('ปฏิทิน'!DY5="","",DAY('ปฏิทิน'!DY5))</f>
        <v/>
      </c>
      <c r="DZ6" s="653">
        <f>IF('ปฏิทิน'!DZ5="","",DAY('ปฏิทิน'!DZ5))</f>
        <v/>
      </c>
      <c r="EA6" s="653">
        <f>IF('ปฏิทิน'!EA5="","",DAY('ปฏิทิน'!EA5))</f>
        <v/>
      </c>
      <c r="EB6" s="653">
        <f>IF('ปฏิทิน'!EB5="","",DAY('ปฏิทิน'!EB5))</f>
        <v/>
      </c>
      <c r="EC6" s="653">
        <f>IF('ปฏิทิน'!EC5="","",DAY('ปฏิทิน'!EC5))</f>
        <v/>
      </c>
      <c r="ED6" s="653">
        <f>IF('ปฏิทิน'!ED5="","",DAY('ปฏิทิน'!ED5))</f>
        <v/>
      </c>
      <c r="EE6" s="653">
        <f>IF('ปฏิทิน'!EE5="","",DAY('ปฏิทิน'!EE5))</f>
        <v/>
      </c>
      <c r="EF6" s="653">
        <f>IF('ปฏิทิน'!EF5="","",DAY('ปฏิทิน'!EF5))</f>
        <v/>
      </c>
      <c r="EG6" s="657" t="inlineStr">
        <is>
          <t>ทำ</t>
        </is>
      </c>
      <c r="EH6" s="658" t="inlineStr">
        <is>
          <t>ไม่
ทำ</t>
        </is>
      </c>
      <c r="EI6" s="659" t="inlineStr">
        <is>
          <t>ร้อยละ</t>
        </is>
      </c>
      <c r="EJ6" s="656">
        <f>IF('ปฏิทิน'!EJ5="","",DAY('ปฏิทิน'!EJ5))</f>
        <v/>
      </c>
      <c r="EK6" s="653">
        <f>IF('ปฏิทิน'!EK5="","",DAY('ปฏิทิน'!EK5))</f>
        <v/>
      </c>
      <c r="EL6" s="653">
        <f>IF('ปฏิทิน'!EL5="","",DAY('ปฏิทิน'!EL5))</f>
        <v/>
      </c>
      <c r="EM6" s="653">
        <f>IF('ปฏิทิน'!EM5="","",DAY('ปฏิทิน'!EM5))</f>
        <v/>
      </c>
      <c r="EN6" s="653">
        <f>IF('ปฏิทิน'!EN5="","",DAY('ปฏิทิน'!EN5))</f>
        <v/>
      </c>
      <c r="EO6" s="653">
        <f>IF('ปฏิทิน'!EO5="","",DAY('ปฏิทิน'!EO5))</f>
        <v/>
      </c>
      <c r="EP6" s="653">
        <f>IF('ปฏิทิน'!EP5="","",DAY('ปฏิทิน'!EP5))</f>
        <v/>
      </c>
      <c r="EQ6" s="653">
        <f>IF('ปฏิทิน'!EQ5="","",DAY('ปฏิทิน'!EQ5))</f>
        <v/>
      </c>
      <c r="ER6" s="653">
        <f>IF('ปฏิทิน'!ER5="","",DAY('ปฏิทิน'!ER5))</f>
        <v/>
      </c>
      <c r="ES6" s="653">
        <f>IF('ปฏิทิน'!ES5="","",DAY('ปฏิทิน'!ES5))</f>
        <v/>
      </c>
      <c r="ET6" s="653">
        <f>IF('ปฏิทิน'!ET5="","",DAY('ปฏิทิน'!ET5))</f>
        <v/>
      </c>
      <c r="EU6" s="653">
        <f>IF('ปฏิทิน'!EU5="","",DAY('ปฏิทิน'!EU5))</f>
        <v/>
      </c>
      <c r="EV6" s="653">
        <f>IF('ปฏิทิน'!EV5="","",DAY('ปฏิทิน'!EV5))</f>
        <v/>
      </c>
      <c r="EW6" s="653">
        <f>IF('ปฏิทิน'!EW5="","",DAY('ปฏิทิน'!EW5))</f>
        <v/>
      </c>
      <c r="EX6" s="653">
        <f>IF('ปฏิทิน'!EX5="","",DAY('ปฏิทิน'!EX5))</f>
        <v/>
      </c>
      <c r="EY6" s="653">
        <f>IF('ปฏิทิน'!EY5="","",DAY('ปฏิทิน'!EY5))</f>
        <v/>
      </c>
      <c r="EZ6" s="653">
        <f>IF('ปฏิทิน'!EZ5="","",DAY('ปฏิทิน'!EZ5))</f>
        <v/>
      </c>
      <c r="FA6" s="653">
        <f>IF('ปฏิทิน'!FA5="","",DAY('ปฏิทิน'!FA5))</f>
        <v/>
      </c>
      <c r="FB6" s="653">
        <f>IF('ปฏิทิน'!FB5="","",DAY('ปฏิทิน'!FB5))</f>
        <v/>
      </c>
      <c r="FC6" s="653">
        <f>IF('ปฏิทิน'!FC5="","",DAY('ปฏิทิน'!FC5))</f>
        <v/>
      </c>
      <c r="FD6" s="653">
        <f>IF('ปฏิทิน'!FD5="","",DAY('ปฏิทิน'!FD5))</f>
        <v/>
      </c>
      <c r="FE6" s="653">
        <f>IF('ปฏิทิน'!FE5="","",DAY('ปฏิทิน'!FE5))</f>
        <v/>
      </c>
      <c r="FF6" s="653">
        <f>IF('ปฏิทิน'!FF5="","",DAY('ปฏิทิน'!FF5))</f>
        <v/>
      </c>
      <c r="FG6" s="653">
        <f>IF('ปฏิทิน'!FG5="","",DAY('ปฏิทิน'!FG5))</f>
        <v/>
      </c>
      <c r="FH6" s="653">
        <f>IF('ปฏิทิน'!FH5="","",DAY('ปฏิทิน'!FH5))</f>
        <v/>
      </c>
      <c r="FI6" s="653">
        <f>IF('ปฏิทิน'!FI5="","",DAY('ปฏิทิน'!FI5))</f>
        <v/>
      </c>
      <c r="FJ6" s="653">
        <f>IF('ปฏิทิน'!FJ5="","",DAY('ปฏิทิน'!FJ5))</f>
        <v/>
      </c>
      <c r="FK6" s="653">
        <f>IF('ปฏิทิน'!FK5="","",DAY('ปฏิทิน'!FK5))</f>
        <v/>
      </c>
      <c r="FL6" s="653">
        <f>IF('ปฏิทิน'!FL5="","",DAY('ปฏิทิน'!FL5))</f>
        <v/>
      </c>
      <c r="FM6" s="653">
        <f>IF('ปฏิทิน'!FM5="","",DAY('ปฏิทิน'!FM5))</f>
        <v/>
      </c>
      <c r="FN6" s="653">
        <f>IF('ปฏิทิน'!FN5="","",DAY('ปฏิทิน'!FN5))</f>
        <v/>
      </c>
      <c r="FO6" s="657" t="inlineStr">
        <is>
          <t>ทำ</t>
        </is>
      </c>
      <c r="FP6" s="658" t="inlineStr">
        <is>
          <t>ไม่
ทำ</t>
        </is>
      </c>
      <c r="FQ6" s="659" t="inlineStr">
        <is>
          <t>ร้อยละ</t>
        </is>
      </c>
    </row>
    <row r="7">
      <c r="D7" s="660">
        <f>IF('ปฏิทิน'!D5="","",CHOOSE(WEEKDAY('ปฏิทิน'!D5,2),"จ.","อ.","พ.","พฤ.","ศ.","ส.","อา."))</f>
        <v/>
      </c>
      <c r="E7" s="661">
        <f>IF('ปฏิทิน'!E5="","",CHOOSE(WEEKDAY('ปฏิทิน'!E5,2),"จ.","อ.","พ.","พฤ.","ศ.","ส.","อา."))</f>
        <v/>
      </c>
      <c r="F7" s="661">
        <f>IF('ปฏิทิน'!F5="","",CHOOSE(WEEKDAY('ปฏิทิน'!F5,2),"จ.","อ.","พ.","พฤ.","ศ.","ส.","อา."))</f>
        <v/>
      </c>
      <c r="G7" s="661">
        <f>IF('ปฏิทิน'!G5="","",CHOOSE(WEEKDAY('ปฏิทิน'!G5,2),"จ.","อ.","พ.","พฤ.","ศ.","ส.","อา."))</f>
        <v/>
      </c>
      <c r="H7" s="661">
        <f>IF('ปฏิทิน'!H5="","",CHOOSE(WEEKDAY('ปฏิทิน'!H5,2),"จ.","อ.","พ.","พฤ.","ศ.","ส.","อา."))</f>
        <v/>
      </c>
      <c r="I7" s="661">
        <f>IF('ปฏิทิน'!I5="","",CHOOSE(WEEKDAY('ปฏิทิน'!I5,2),"จ.","อ.","พ.","พฤ.","ศ.","ส.","อา."))</f>
        <v/>
      </c>
      <c r="J7" s="661">
        <f>IF('ปฏิทิน'!J5="","",CHOOSE(WEEKDAY('ปฏิทิน'!J5,2),"จ.","อ.","พ.","พฤ.","ศ.","ส.","อา."))</f>
        <v/>
      </c>
      <c r="K7" s="661">
        <f>IF('ปฏิทิน'!K5="","",CHOOSE(WEEKDAY('ปฏิทิน'!K5,2),"จ.","อ.","พ.","พฤ.","ศ.","ส.","อา."))</f>
        <v/>
      </c>
      <c r="L7" s="661">
        <f>IF('ปฏิทิน'!L5="","",CHOOSE(WEEKDAY('ปฏิทิน'!L5,2),"จ.","อ.","พ.","พฤ.","ศ.","ส.","อา."))</f>
        <v/>
      </c>
      <c r="M7" s="661">
        <f>IF('ปฏิทิน'!M5="","",CHOOSE(WEEKDAY('ปฏิทิน'!M5,2),"จ.","อ.","พ.","พฤ.","ศ.","ส.","อา."))</f>
        <v/>
      </c>
      <c r="N7" s="661">
        <f>IF('ปฏิทิน'!N5="","",CHOOSE(WEEKDAY('ปฏิทิน'!N5,2),"จ.","อ.","พ.","พฤ.","ศ.","ส.","อา."))</f>
        <v/>
      </c>
      <c r="O7" s="661">
        <f>IF('ปฏิทิน'!O5="","",CHOOSE(WEEKDAY('ปฏิทิน'!O5,2),"จ.","อ.","พ.","พฤ.","ศ.","ส.","อา."))</f>
        <v/>
      </c>
      <c r="P7" s="661">
        <f>IF('ปฏิทิน'!P5="","",CHOOSE(WEEKDAY('ปฏิทิน'!P5,2),"จ.","อ.","พ.","พฤ.","ศ.","ส.","อา."))</f>
        <v/>
      </c>
      <c r="Q7" s="661">
        <f>IF('ปฏิทิน'!Q5="","",CHOOSE(WEEKDAY('ปฏิทิน'!Q5,2),"จ.","อ.","พ.","พฤ.","ศ.","ส.","อา."))</f>
        <v/>
      </c>
      <c r="R7" s="661">
        <f>IF('ปฏิทิน'!R5="","",CHOOSE(WEEKDAY('ปฏิทิน'!R5,2),"จ.","อ.","พ.","พฤ.","ศ.","ส.","อา."))</f>
        <v/>
      </c>
      <c r="S7" s="661">
        <f>IF('ปฏิทิน'!S5="","",CHOOSE(WEEKDAY('ปฏิทิน'!S5,2),"จ.","อ.","พ.","พฤ.","ศ.","ส.","อา."))</f>
        <v/>
      </c>
      <c r="T7" s="661">
        <f>IF('ปฏิทิน'!T5="","",CHOOSE(WEEKDAY('ปฏิทิน'!T5,2),"จ.","อ.","พ.","พฤ.","ศ.","ส.","อา."))</f>
        <v/>
      </c>
      <c r="U7" s="661">
        <f>IF('ปฏิทิน'!U5="","",CHOOSE(WEEKDAY('ปฏิทิน'!U5,2),"จ.","อ.","พ.","พฤ.","ศ.","ส.","อา."))</f>
        <v/>
      </c>
      <c r="V7" s="661">
        <f>IF('ปฏิทิน'!V5="","",CHOOSE(WEEKDAY('ปฏิทิน'!V5,2),"จ.","อ.","พ.","พฤ.","ศ.","ส.","อา."))</f>
        <v/>
      </c>
      <c r="W7" s="661">
        <f>IF('ปฏิทิน'!W5="","",CHOOSE(WEEKDAY('ปฏิทิน'!W5,2),"จ.","อ.","พ.","พฤ.","ศ.","ส.","อา."))</f>
        <v/>
      </c>
      <c r="X7" s="661">
        <f>IF('ปฏิทิน'!X5="","",CHOOSE(WEEKDAY('ปฏิทิน'!X5,2),"จ.","อ.","พ.","พฤ.","ศ.","ส.","อา."))</f>
        <v/>
      </c>
      <c r="Y7" s="661">
        <f>IF('ปฏิทิน'!Y5="","",CHOOSE(WEEKDAY('ปฏิทิน'!Y5,2),"จ.","อ.","พ.","พฤ.","ศ.","ส.","อา."))</f>
        <v/>
      </c>
      <c r="Z7" s="661">
        <f>IF('ปฏิทิน'!Z5="","",CHOOSE(WEEKDAY('ปฏิทิน'!Z5,2),"จ.","อ.","พ.","พฤ.","ศ.","ส.","อา."))</f>
        <v/>
      </c>
      <c r="AA7" s="661">
        <f>IF('ปฏิทิน'!AA5="","",CHOOSE(WEEKDAY('ปฏิทิน'!AA5,2),"จ.","อ.","พ.","พฤ.","ศ.","ส.","อา."))</f>
        <v/>
      </c>
      <c r="AB7" s="661">
        <f>IF('ปฏิทิน'!AB5="","",CHOOSE(WEEKDAY('ปฏิทิน'!AB5,2),"จ.","อ.","พ.","พฤ.","ศ.","ส.","อา."))</f>
        <v/>
      </c>
      <c r="AC7" s="661">
        <f>IF('ปฏิทิน'!AC5="","",CHOOSE(WEEKDAY('ปฏิทิน'!AC5,2),"จ.","อ.","พ.","พฤ.","ศ.","ส.","อา."))</f>
        <v/>
      </c>
      <c r="AD7" s="661">
        <f>IF('ปฏิทิน'!AD5="","",CHOOSE(WEEKDAY('ปฏิทิน'!AD5,2),"จ.","อ.","พ.","พฤ.","ศ.","ส.","อา."))</f>
        <v/>
      </c>
      <c r="AE7" s="661">
        <f>IF('ปฏิทิน'!AE5="","",CHOOSE(WEEKDAY('ปฏิทิน'!AE5,2),"จ.","อ.","พ.","พฤ.","ศ.","ส.","อา."))</f>
        <v/>
      </c>
      <c r="AF7" s="661">
        <f>IF('ปฏิทิน'!AF5="","",CHOOSE(WEEKDAY('ปฏิทิน'!AF5,2),"จ.","อ.","พ.","พฤ.","ศ.","ส.","อา."))</f>
        <v/>
      </c>
      <c r="AG7" s="661">
        <f>IF('ปฏิทิน'!AG5="","",CHOOSE(WEEKDAY('ปฏิทิน'!AG5,2),"จ.","อ.","พ.","พฤ.","ศ.","ส.","อา."))</f>
        <v/>
      </c>
      <c r="AH7" s="661">
        <f>IF('ปฏิทิน'!AH5="","",CHOOSE(WEEKDAY('ปฏิทิน'!AH5,2),"จ.","อ.","พ.","พฤ.","ศ.","ส.","อา."))</f>
        <v/>
      </c>
      <c r="AI7" s="662" t="n"/>
      <c r="AL7" s="660">
        <f>IF('ปฏิทิน'!AL5="","",CHOOSE(WEEKDAY('ปฏิทิน'!AL5,2),"จ.","อ.","พ.","พฤ.","ศ.","ส.","อา."))</f>
        <v/>
      </c>
      <c r="AM7" s="661">
        <f>IF('ปฏิทิน'!AM5="","",CHOOSE(WEEKDAY('ปฏิทิน'!AM5,2),"จ.","อ.","พ.","พฤ.","ศ.","ส.","อา."))</f>
        <v/>
      </c>
      <c r="AN7" s="661">
        <f>IF('ปฏิทิน'!AN5="","",CHOOSE(WEEKDAY('ปฏิทิน'!AN5,2),"จ.","อ.","พ.","พฤ.","ศ.","ส.","อา."))</f>
        <v/>
      </c>
      <c r="AO7" s="661">
        <f>IF('ปฏิทิน'!AO5="","",CHOOSE(WEEKDAY('ปฏิทิน'!AO5,2),"จ.","อ.","พ.","พฤ.","ศ.","ส.","อา."))</f>
        <v/>
      </c>
      <c r="AP7" s="661">
        <f>IF('ปฏิทิน'!AP5="","",CHOOSE(WEEKDAY('ปฏิทิน'!AP5,2),"จ.","อ.","พ.","พฤ.","ศ.","ส.","อา."))</f>
        <v/>
      </c>
      <c r="AQ7" s="661">
        <f>IF('ปฏิทิน'!AQ5="","",CHOOSE(WEEKDAY('ปฏิทิน'!AQ5,2),"จ.","อ.","พ.","พฤ.","ศ.","ส.","อา."))</f>
        <v/>
      </c>
      <c r="AR7" s="661">
        <f>IF('ปฏิทิน'!AR5="","",CHOOSE(WEEKDAY('ปฏิทิน'!AR5,2),"จ.","อ.","พ.","พฤ.","ศ.","ส.","อา."))</f>
        <v/>
      </c>
      <c r="AS7" s="661">
        <f>IF('ปฏิทิน'!AS5="","",CHOOSE(WEEKDAY('ปฏิทิน'!AS5,2),"จ.","อ.","พ.","พฤ.","ศ.","ส.","อา."))</f>
        <v/>
      </c>
      <c r="AT7" s="661">
        <f>IF('ปฏิทิน'!AT5="","",CHOOSE(WEEKDAY('ปฏิทิน'!AT5,2),"จ.","อ.","พ.","พฤ.","ศ.","ส.","อา."))</f>
        <v/>
      </c>
      <c r="AU7" s="661">
        <f>IF('ปฏิทิน'!AU5="","",CHOOSE(WEEKDAY('ปฏิทิน'!AU5,2),"จ.","อ.","พ.","พฤ.","ศ.","ส.","อา."))</f>
        <v/>
      </c>
      <c r="AV7" s="661">
        <f>IF('ปฏิทิน'!AV5="","",CHOOSE(WEEKDAY('ปฏิทิน'!AV5,2),"จ.","อ.","พ.","พฤ.","ศ.","ส.","อา."))</f>
        <v/>
      </c>
      <c r="AW7" s="661">
        <f>IF('ปฏิทิน'!AW5="","",CHOOSE(WEEKDAY('ปฏิทิน'!AW5,2),"จ.","อ.","พ.","พฤ.","ศ.","ส.","อา."))</f>
        <v/>
      </c>
      <c r="AX7" s="661">
        <f>IF('ปฏิทิน'!AX5="","",CHOOSE(WEEKDAY('ปฏิทิน'!AX5,2),"จ.","อ.","พ.","พฤ.","ศ.","ส.","อา."))</f>
        <v/>
      </c>
      <c r="AY7" s="661">
        <f>IF('ปฏิทิน'!AY5="","",CHOOSE(WEEKDAY('ปฏิทิน'!AY5,2),"จ.","อ.","พ.","พฤ.","ศ.","ส.","อา."))</f>
        <v/>
      </c>
      <c r="AZ7" s="661">
        <f>IF('ปฏิทิน'!AZ5="","",CHOOSE(WEEKDAY('ปฏิทิน'!AZ5,2),"จ.","อ.","พ.","พฤ.","ศ.","ส.","อา."))</f>
        <v/>
      </c>
      <c r="BA7" s="661">
        <f>IF('ปฏิทิน'!BA5="","",CHOOSE(WEEKDAY('ปฏิทิน'!BA5,2),"จ.","อ.","พ.","พฤ.","ศ.","ส.","อา."))</f>
        <v/>
      </c>
      <c r="BB7" s="661">
        <f>IF('ปฏิทิน'!BB5="","",CHOOSE(WEEKDAY('ปฏิทิน'!BB5,2),"จ.","อ.","พ.","พฤ.","ศ.","ส.","อา."))</f>
        <v/>
      </c>
      <c r="BC7" s="661">
        <f>IF('ปฏิทิน'!BC5="","",CHOOSE(WEEKDAY('ปฏิทิน'!BC5,2),"จ.","อ.","พ.","พฤ.","ศ.","ส.","อา."))</f>
        <v/>
      </c>
      <c r="BD7" s="661">
        <f>IF('ปฏิทิน'!BD5="","",CHOOSE(WEEKDAY('ปฏิทิน'!BD5,2),"จ.","อ.","พ.","พฤ.","ศ.","ส.","อา."))</f>
        <v/>
      </c>
      <c r="BE7" s="661">
        <f>IF('ปฏิทิน'!BE5="","",CHOOSE(WEEKDAY('ปฏิทิน'!BE5,2),"จ.","อ.","พ.","พฤ.","ศ.","ส.","อา."))</f>
        <v/>
      </c>
      <c r="BF7" s="661">
        <f>IF('ปฏิทิน'!BF5="","",CHOOSE(WEEKDAY('ปฏิทิน'!BF5,2),"จ.","อ.","พ.","พฤ.","ศ.","ส.","อา."))</f>
        <v/>
      </c>
      <c r="BG7" s="661">
        <f>IF('ปฏิทิน'!BG5="","",CHOOSE(WEEKDAY('ปฏิทิน'!BG5,2),"จ.","อ.","พ.","พฤ.","ศ.","ส.","อา."))</f>
        <v/>
      </c>
      <c r="BH7" s="661">
        <f>IF('ปฏิทิน'!BH5="","",CHOOSE(WEEKDAY('ปฏิทิน'!BH5,2),"จ.","อ.","พ.","พฤ.","ศ.","ส.","อา."))</f>
        <v/>
      </c>
      <c r="BI7" s="661">
        <f>IF('ปฏิทิน'!BI5="","",CHOOSE(WEEKDAY('ปฏิทิน'!BI5,2),"จ.","อ.","พ.","พฤ.","ศ.","ส.","อา."))</f>
        <v/>
      </c>
      <c r="BJ7" s="661">
        <f>IF('ปฏิทิน'!BJ5="","",CHOOSE(WEEKDAY('ปฏิทิน'!BJ5,2),"จ.","อ.","พ.","พฤ.","ศ.","ส.","อา."))</f>
        <v/>
      </c>
      <c r="BK7" s="661">
        <f>IF('ปฏิทิน'!BK5="","",CHOOSE(WEEKDAY('ปฏิทิน'!BK5,2),"จ.","อ.","พ.","พฤ.","ศ.","ส.","อา."))</f>
        <v/>
      </c>
      <c r="BL7" s="661">
        <f>IF('ปฏิทิน'!BL5="","",CHOOSE(WEEKDAY('ปฏิทิน'!BL5,2),"จ.","อ.","พ.","พฤ.","ศ.","ส.","อา."))</f>
        <v/>
      </c>
      <c r="BM7" s="661">
        <f>IF('ปฏิทิน'!BM5="","",CHOOSE(WEEKDAY('ปฏิทิน'!BM5,2),"จ.","อ.","พ.","พฤ.","ศ.","ส.","อา."))</f>
        <v/>
      </c>
      <c r="BN7" s="661">
        <f>IF('ปฏิทิน'!BN5="","",CHOOSE(WEEKDAY('ปฏิทิน'!BN5,2),"จ.","อ.","พ.","พฤ.","ศ.","ส.","อา."))</f>
        <v/>
      </c>
      <c r="BO7" s="661">
        <f>IF('ปฏิทิน'!BO5="","",CHOOSE(WEEKDAY('ปฏิทิน'!BO5,2),"จ.","อ.","พ.","พฤ.","ศ.","ส.","อา."))</f>
        <v/>
      </c>
      <c r="BP7" s="661">
        <f>IF('ปฏิทิน'!BP5="","",CHOOSE(WEEKDAY('ปฏิทิน'!BP5,2),"จ.","อ.","พ.","พฤ.","ศ.","ส.","อา."))</f>
        <v/>
      </c>
      <c r="BQ7" s="662" t="n"/>
      <c r="BT7" s="660">
        <f>IF('ปฏิทิน'!BT5="","",CHOOSE(WEEKDAY('ปฏิทิน'!BT5,2),"จ.","อ.","พ.","พฤ.","ศ.","ส.","อา."))</f>
        <v/>
      </c>
      <c r="BU7" s="661">
        <f>IF('ปฏิทิน'!BU5="","",CHOOSE(WEEKDAY('ปฏิทิน'!BU5,2),"จ.","อ.","พ.","พฤ.","ศ.","ส.","อา."))</f>
        <v/>
      </c>
      <c r="BV7" s="661">
        <f>IF('ปฏิทิน'!BV5="","",CHOOSE(WEEKDAY('ปฏิทิน'!BV5,2),"จ.","อ.","พ.","พฤ.","ศ.","ส.","อา."))</f>
        <v/>
      </c>
      <c r="BW7" s="661">
        <f>IF('ปฏิทิน'!BW5="","",CHOOSE(WEEKDAY('ปฏิทิน'!BW5,2),"จ.","อ.","พ.","พฤ.","ศ.","ส.","อา."))</f>
        <v/>
      </c>
      <c r="BX7" s="661">
        <f>IF('ปฏิทิน'!BX5="","",CHOOSE(WEEKDAY('ปฏิทิน'!BX5,2),"จ.","อ.","พ.","พฤ.","ศ.","ส.","อา."))</f>
        <v/>
      </c>
      <c r="BY7" s="661">
        <f>IF('ปฏิทิน'!BY5="","",CHOOSE(WEEKDAY('ปฏิทิน'!BY5,2),"จ.","อ.","พ.","พฤ.","ศ.","ส.","อา."))</f>
        <v/>
      </c>
      <c r="BZ7" s="661">
        <f>IF('ปฏิทิน'!BZ5="","",CHOOSE(WEEKDAY('ปฏิทิน'!BZ5,2),"จ.","อ.","พ.","พฤ.","ศ.","ส.","อา."))</f>
        <v/>
      </c>
      <c r="CA7" s="661">
        <f>IF('ปฏิทิน'!CA5="","",CHOOSE(WEEKDAY('ปฏิทิน'!CA5,2),"จ.","อ.","พ.","พฤ.","ศ.","ส.","อา."))</f>
        <v/>
      </c>
      <c r="CB7" s="661">
        <f>IF('ปฏิทิน'!CB5="","",CHOOSE(WEEKDAY('ปฏิทิน'!CB5,2),"จ.","อ.","พ.","พฤ.","ศ.","ส.","อา."))</f>
        <v/>
      </c>
      <c r="CC7" s="661">
        <f>IF('ปฏิทิน'!CC5="","",CHOOSE(WEEKDAY('ปฏิทิน'!CC5,2),"จ.","อ.","พ.","พฤ.","ศ.","ส.","อา."))</f>
        <v/>
      </c>
      <c r="CD7" s="661">
        <f>IF('ปฏิทิน'!CD5="","",CHOOSE(WEEKDAY('ปฏิทิน'!CD5,2),"จ.","อ.","พ.","พฤ.","ศ.","ส.","อา."))</f>
        <v/>
      </c>
      <c r="CE7" s="661">
        <f>IF('ปฏิทิน'!CE5="","",CHOOSE(WEEKDAY('ปฏิทิน'!CE5,2),"จ.","อ.","พ.","พฤ.","ศ.","ส.","อา."))</f>
        <v/>
      </c>
      <c r="CF7" s="661">
        <f>IF('ปฏิทิน'!CF5="","",CHOOSE(WEEKDAY('ปฏิทิน'!CF5,2),"จ.","อ.","พ.","พฤ.","ศ.","ส.","อา."))</f>
        <v/>
      </c>
      <c r="CG7" s="661">
        <f>IF('ปฏิทิน'!CG5="","",CHOOSE(WEEKDAY('ปฏิทิน'!CG5,2),"จ.","อ.","พ.","พฤ.","ศ.","ส.","อา."))</f>
        <v/>
      </c>
      <c r="CH7" s="661">
        <f>IF('ปฏิทิน'!CH5="","",CHOOSE(WEEKDAY('ปฏิทิน'!CH5,2),"จ.","อ.","พ.","พฤ.","ศ.","ส.","อา."))</f>
        <v/>
      </c>
      <c r="CI7" s="661">
        <f>IF('ปฏิทิน'!CI5="","",CHOOSE(WEEKDAY('ปฏิทิน'!CI5,2),"จ.","อ.","พ.","พฤ.","ศ.","ส.","อา."))</f>
        <v/>
      </c>
      <c r="CJ7" s="661">
        <f>IF('ปฏิทิน'!CJ5="","",CHOOSE(WEEKDAY('ปฏิทิน'!CJ5,2),"จ.","อ.","พ.","พฤ.","ศ.","ส.","อา."))</f>
        <v/>
      </c>
      <c r="CK7" s="661">
        <f>IF('ปฏิทิน'!CK5="","",CHOOSE(WEEKDAY('ปฏิทิน'!CK5,2),"จ.","อ.","พ.","พฤ.","ศ.","ส.","อา."))</f>
        <v/>
      </c>
      <c r="CL7" s="661">
        <f>IF('ปฏิทิน'!CL5="","",CHOOSE(WEEKDAY('ปฏิทิน'!CL5,2),"จ.","อ.","พ.","พฤ.","ศ.","ส.","อา."))</f>
        <v/>
      </c>
      <c r="CM7" s="661">
        <f>IF('ปฏิทิน'!CM5="","",CHOOSE(WEEKDAY('ปฏิทิน'!CM5,2),"จ.","อ.","พ.","พฤ.","ศ.","ส.","อา."))</f>
        <v/>
      </c>
      <c r="CN7" s="661">
        <f>IF('ปฏิทิน'!CN5="","",CHOOSE(WEEKDAY('ปฏิทิน'!CN5,2),"จ.","อ.","พ.","พฤ.","ศ.","ส.","อา."))</f>
        <v/>
      </c>
      <c r="CO7" s="661">
        <f>IF('ปฏิทิน'!CO5="","",CHOOSE(WEEKDAY('ปฏิทิน'!CO5,2),"จ.","อ.","พ.","พฤ.","ศ.","ส.","อา."))</f>
        <v/>
      </c>
      <c r="CP7" s="661">
        <f>IF('ปฏิทิน'!CP5="","",CHOOSE(WEEKDAY('ปฏิทิน'!CP5,2),"จ.","อ.","พ.","พฤ.","ศ.","ส.","อา."))</f>
        <v/>
      </c>
      <c r="CQ7" s="661">
        <f>IF('ปฏิทิน'!CQ5="","",CHOOSE(WEEKDAY('ปฏิทิน'!CQ5,2),"จ.","อ.","พ.","พฤ.","ศ.","ส.","อา."))</f>
        <v/>
      </c>
      <c r="CR7" s="661">
        <f>IF('ปฏิทิน'!CR5="","",CHOOSE(WEEKDAY('ปฏิทิน'!CR5,2),"จ.","อ.","พ.","พฤ.","ศ.","ส.","อา."))</f>
        <v/>
      </c>
      <c r="CS7" s="661">
        <f>IF('ปฏิทิน'!CS5="","",CHOOSE(WEEKDAY('ปฏิทิน'!CS5,2),"จ.","อ.","พ.","พฤ.","ศ.","ส.","อา."))</f>
        <v/>
      </c>
      <c r="CT7" s="661">
        <f>IF('ปฏิทิน'!CT5="","",CHOOSE(WEEKDAY('ปฏิทิน'!CT5,2),"จ.","อ.","พ.","พฤ.","ศ.","ส.","อา."))</f>
        <v/>
      </c>
      <c r="CU7" s="661">
        <f>IF('ปฏิทิน'!CU5="","",CHOOSE(WEEKDAY('ปฏิทิน'!CU5,2),"จ.","อ.","พ.","พฤ.","ศ.","ส.","อา."))</f>
        <v/>
      </c>
      <c r="CV7" s="661">
        <f>IF('ปฏิทิน'!CV5="","",CHOOSE(WEEKDAY('ปฏิทิน'!CV5,2),"จ.","อ.","พ.","พฤ.","ศ.","ส.","อา."))</f>
        <v/>
      </c>
      <c r="CW7" s="661">
        <f>IF('ปฏิทิน'!CW5="","",CHOOSE(WEEKDAY('ปฏิทิน'!CW5,2),"จ.","อ.","พ.","พฤ.","ศ.","ส.","อา."))</f>
        <v/>
      </c>
      <c r="CX7" s="661">
        <f>IF('ปฏิทิน'!CX5="","",CHOOSE(WEEKDAY('ปฏิทิน'!CX5,2),"จ.","อ.","พ.","พฤ.","ศ.","ส.","อา."))</f>
        <v/>
      </c>
      <c r="CY7" s="662" t="n"/>
      <c r="DB7" s="660">
        <f>IF('ปฏิทิน'!DB5="","",CHOOSE(WEEKDAY('ปฏิทิน'!DB5,2),"จ.","อ.","พ.","พฤ.","ศ.","ส.","อา."))</f>
        <v/>
      </c>
      <c r="DC7" s="661">
        <f>IF('ปฏิทิน'!DC5="","",CHOOSE(WEEKDAY('ปฏิทิน'!DC5,2),"จ.","อ.","พ.","พฤ.","ศ.","ส.","อา."))</f>
        <v/>
      </c>
      <c r="DD7" s="661">
        <f>IF('ปฏิทิน'!DD5="","",CHOOSE(WEEKDAY('ปฏิทิน'!DD5,2),"จ.","อ.","พ.","พฤ.","ศ.","ส.","อา."))</f>
        <v/>
      </c>
      <c r="DE7" s="661">
        <f>IF('ปฏิทิน'!DE5="","",CHOOSE(WEEKDAY('ปฏิทิน'!DE5,2),"จ.","อ.","พ.","พฤ.","ศ.","ส.","อา."))</f>
        <v/>
      </c>
      <c r="DF7" s="661">
        <f>IF('ปฏิทิน'!DF5="","",CHOOSE(WEEKDAY('ปฏิทิน'!DF5,2),"จ.","อ.","พ.","พฤ.","ศ.","ส.","อา."))</f>
        <v/>
      </c>
      <c r="DG7" s="661">
        <f>IF('ปฏิทิน'!DG5="","",CHOOSE(WEEKDAY('ปฏิทิน'!DG5,2),"จ.","อ.","พ.","พฤ.","ศ.","ส.","อา."))</f>
        <v/>
      </c>
      <c r="DH7" s="661">
        <f>IF('ปฏิทิน'!DH5="","",CHOOSE(WEEKDAY('ปฏิทิน'!DH5,2),"จ.","อ.","พ.","พฤ.","ศ.","ส.","อา."))</f>
        <v/>
      </c>
      <c r="DI7" s="661">
        <f>IF('ปฏิทิน'!DI5="","",CHOOSE(WEEKDAY('ปฏิทิน'!DI5,2),"จ.","อ.","พ.","พฤ.","ศ.","ส.","อา."))</f>
        <v/>
      </c>
      <c r="DJ7" s="661">
        <f>IF('ปฏิทิน'!DJ5="","",CHOOSE(WEEKDAY('ปฏิทิน'!DJ5,2),"จ.","อ.","พ.","พฤ.","ศ.","ส.","อา."))</f>
        <v/>
      </c>
      <c r="DK7" s="661">
        <f>IF('ปฏิทิน'!DK5="","",CHOOSE(WEEKDAY('ปฏิทิน'!DK5,2),"จ.","อ.","พ.","พฤ.","ศ.","ส.","อา."))</f>
        <v/>
      </c>
      <c r="DL7" s="661">
        <f>IF('ปฏิทิน'!DL5="","",CHOOSE(WEEKDAY('ปฏิทิน'!DL5,2),"จ.","อ.","พ.","พฤ.","ศ.","ส.","อา."))</f>
        <v/>
      </c>
      <c r="DM7" s="661">
        <f>IF('ปฏิทิน'!DM5="","",CHOOSE(WEEKDAY('ปฏิทิน'!DM5,2),"จ.","อ.","พ.","พฤ.","ศ.","ส.","อา."))</f>
        <v/>
      </c>
      <c r="DN7" s="661">
        <f>IF('ปฏิทิน'!DN5="","",CHOOSE(WEEKDAY('ปฏิทิน'!DN5,2),"จ.","อ.","พ.","พฤ.","ศ.","ส.","อา."))</f>
        <v/>
      </c>
      <c r="DO7" s="661">
        <f>IF('ปฏิทิน'!DO5="","",CHOOSE(WEEKDAY('ปฏิทิน'!DO5,2),"จ.","อ.","พ.","พฤ.","ศ.","ส.","อา."))</f>
        <v/>
      </c>
      <c r="DP7" s="661">
        <f>IF('ปฏิทิน'!DP5="","",CHOOSE(WEEKDAY('ปฏิทิน'!DP5,2),"จ.","อ.","พ.","พฤ.","ศ.","ส.","อา."))</f>
        <v/>
      </c>
      <c r="DQ7" s="661">
        <f>IF('ปฏิทิน'!DQ5="","",CHOOSE(WEEKDAY('ปฏิทิน'!DQ5,2),"จ.","อ.","พ.","พฤ.","ศ.","ส.","อา."))</f>
        <v/>
      </c>
      <c r="DR7" s="661">
        <f>IF('ปฏิทิน'!DR5="","",CHOOSE(WEEKDAY('ปฏิทิน'!DR5,2),"จ.","อ.","พ.","พฤ.","ศ.","ส.","อา."))</f>
        <v/>
      </c>
      <c r="DS7" s="661">
        <f>IF('ปฏิทิน'!DS5="","",CHOOSE(WEEKDAY('ปฏิทิน'!DS5,2),"จ.","อ.","พ.","พฤ.","ศ.","ส.","อา."))</f>
        <v/>
      </c>
      <c r="DT7" s="661">
        <f>IF('ปฏิทิน'!DT5="","",CHOOSE(WEEKDAY('ปฏิทิน'!DT5,2),"จ.","อ.","พ.","พฤ.","ศ.","ส.","อา."))</f>
        <v/>
      </c>
      <c r="DU7" s="661">
        <f>IF('ปฏิทิน'!DU5="","",CHOOSE(WEEKDAY('ปฏิทิน'!DU5,2),"จ.","อ.","พ.","พฤ.","ศ.","ส.","อา."))</f>
        <v/>
      </c>
      <c r="DV7" s="661">
        <f>IF('ปฏิทิน'!DV5="","",CHOOSE(WEEKDAY('ปฏิทิน'!DV5,2),"จ.","อ.","พ.","พฤ.","ศ.","ส.","อา."))</f>
        <v/>
      </c>
      <c r="DW7" s="661">
        <f>IF('ปฏิทิน'!DW5="","",CHOOSE(WEEKDAY('ปฏิทิน'!DW5,2),"จ.","อ.","พ.","พฤ.","ศ.","ส.","อา."))</f>
        <v/>
      </c>
      <c r="DX7" s="661">
        <f>IF('ปฏิทิน'!DX5="","",CHOOSE(WEEKDAY('ปฏิทิน'!DX5,2),"จ.","อ.","พ.","พฤ.","ศ.","ส.","อา."))</f>
        <v/>
      </c>
      <c r="DY7" s="661">
        <f>IF('ปฏิทิน'!DY5="","",CHOOSE(WEEKDAY('ปฏิทิน'!DY5,2),"จ.","อ.","พ.","พฤ.","ศ.","ส.","อา."))</f>
        <v/>
      </c>
      <c r="DZ7" s="661">
        <f>IF('ปฏิทิน'!DZ5="","",CHOOSE(WEEKDAY('ปฏิทิน'!DZ5,2),"จ.","อ.","พ.","พฤ.","ศ.","ส.","อา."))</f>
        <v/>
      </c>
      <c r="EA7" s="661">
        <f>IF('ปฏิทิน'!EA5="","",CHOOSE(WEEKDAY('ปฏิทิน'!EA5,2),"จ.","อ.","พ.","พฤ.","ศ.","ส.","อา."))</f>
        <v/>
      </c>
      <c r="EB7" s="661">
        <f>IF('ปฏิทิน'!EB5="","",CHOOSE(WEEKDAY('ปฏิทิน'!EB5,2),"จ.","อ.","พ.","พฤ.","ศ.","ส.","อา."))</f>
        <v/>
      </c>
      <c r="EC7" s="661">
        <f>IF('ปฏิทิน'!EC5="","",CHOOSE(WEEKDAY('ปฏิทิน'!EC5,2),"จ.","อ.","พ.","พฤ.","ศ.","ส.","อา."))</f>
        <v/>
      </c>
      <c r="ED7" s="661">
        <f>IF('ปฏิทิน'!ED5="","",CHOOSE(WEEKDAY('ปฏิทิน'!ED5,2),"จ.","อ.","พ.","พฤ.","ศ.","ส.","อา."))</f>
        <v/>
      </c>
      <c r="EE7" s="661">
        <f>IF('ปฏิทิน'!EE5="","",CHOOSE(WEEKDAY('ปฏิทิน'!EE5,2),"จ.","อ.","พ.","พฤ.","ศ.","ส.","อา."))</f>
        <v/>
      </c>
      <c r="EF7" s="661">
        <f>IF('ปฏิทิน'!EF5="","",CHOOSE(WEEKDAY('ปฏิทิน'!EF5,2),"จ.","อ.","พ.","พฤ.","ศ.","ส.","อา."))</f>
        <v/>
      </c>
      <c r="EG7" s="662" t="n"/>
      <c r="EJ7" s="660">
        <f>IF('ปฏิทิน'!EJ5="","",CHOOSE(WEEKDAY('ปฏิทิน'!EJ5,2),"จ.","อ.","พ.","พฤ.","ศ.","ส.","อา."))</f>
        <v/>
      </c>
      <c r="EK7" s="661">
        <f>IF('ปฏิทิน'!EK5="","",CHOOSE(WEEKDAY('ปฏิทิน'!EK5,2),"จ.","อ.","พ.","พฤ.","ศ.","ส.","อา."))</f>
        <v/>
      </c>
      <c r="EL7" s="661">
        <f>IF('ปฏิทิน'!EL5="","",CHOOSE(WEEKDAY('ปฏิทิน'!EL5,2),"จ.","อ.","พ.","พฤ.","ศ.","ส.","อา."))</f>
        <v/>
      </c>
      <c r="EM7" s="661">
        <f>IF('ปฏิทิน'!EM5="","",CHOOSE(WEEKDAY('ปฏิทิน'!EM5,2),"จ.","อ.","พ.","พฤ.","ศ.","ส.","อา."))</f>
        <v/>
      </c>
      <c r="EN7" s="661">
        <f>IF('ปฏิทิน'!EN5="","",CHOOSE(WEEKDAY('ปฏิทิน'!EN5,2),"จ.","อ.","พ.","พฤ.","ศ.","ส.","อา."))</f>
        <v/>
      </c>
      <c r="EO7" s="661">
        <f>IF('ปฏิทิน'!EO5="","",CHOOSE(WEEKDAY('ปฏิทิน'!EO5,2),"จ.","อ.","พ.","พฤ.","ศ.","ส.","อา."))</f>
        <v/>
      </c>
      <c r="EP7" s="661">
        <f>IF('ปฏิทิน'!EP5="","",CHOOSE(WEEKDAY('ปฏิทิน'!EP5,2),"จ.","อ.","พ.","พฤ.","ศ.","ส.","อา."))</f>
        <v/>
      </c>
      <c r="EQ7" s="661">
        <f>IF('ปฏิทิน'!EQ5="","",CHOOSE(WEEKDAY('ปฏิทิน'!EQ5,2),"จ.","อ.","พ.","พฤ.","ศ.","ส.","อา."))</f>
        <v/>
      </c>
      <c r="ER7" s="661">
        <f>IF('ปฏิทิน'!ER5="","",CHOOSE(WEEKDAY('ปฏิทิน'!ER5,2),"จ.","อ.","พ.","พฤ.","ศ.","ส.","อา."))</f>
        <v/>
      </c>
      <c r="ES7" s="661">
        <f>IF('ปฏิทิน'!ES5="","",CHOOSE(WEEKDAY('ปฏิทิน'!ES5,2),"จ.","อ.","พ.","พฤ.","ศ.","ส.","อา."))</f>
        <v/>
      </c>
      <c r="ET7" s="661">
        <f>IF('ปฏิทิน'!ET5="","",CHOOSE(WEEKDAY('ปฏิทิน'!ET5,2),"จ.","อ.","พ.","พฤ.","ศ.","ส.","อา."))</f>
        <v/>
      </c>
      <c r="EU7" s="661">
        <f>IF('ปฏิทิน'!EU5="","",CHOOSE(WEEKDAY('ปฏิทิน'!EU5,2),"จ.","อ.","พ.","พฤ.","ศ.","ส.","อา."))</f>
        <v/>
      </c>
      <c r="EV7" s="661">
        <f>IF('ปฏิทิน'!EV5="","",CHOOSE(WEEKDAY('ปฏิทิน'!EV5,2),"จ.","อ.","พ.","พฤ.","ศ.","ส.","อา."))</f>
        <v/>
      </c>
      <c r="EW7" s="661">
        <f>IF('ปฏิทิน'!EW5="","",CHOOSE(WEEKDAY('ปฏิทิน'!EW5,2),"จ.","อ.","พ.","พฤ.","ศ.","ส.","อา."))</f>
        <v/>
      </c>
      <c r="EX7" s="661">
        <f>IF('ปฏิทิน'!EX5="","",CHOOSE(WEEKDAY('ปฏิทิน'!EX5,2),"จ.","อ.","พ.","พฤ.","ศ.","ส.","อา."))</f>
        <v/>
      </c>
      <c r="EY7" s="661">
        <f>IF('ปฏิทิน'!EY5="","",CHOOSE(WEEKDAY('ปฏิทิน'!EY5,2),"จ.","อ.","พ.","พฤ.","ศ.","ส.","อา."))</f>
        <v/>
      </c>
      <c r="EZ7" s="661">
        <f>IF('ปฏิทิน'!EZ5="","",CHOOSE(WEEKDAY('ปฏิทิน'!EZ5,2),"จ.","อ.","พ.","พฤ.","ศ.","ส.","อา."))</f>
        <v/>
      </c>
      <c r="FA7" s="661">
        <f>IF('ปฏิทิน'!FA5="","",CHOOSE(WEEKDAY('ปฏิทิน'!FA5,2),"จ.","อ.","พ.","พฤ.","ศ.","ส.","อา."))</f>
        <v/>
      </c>
      <c r="FB7" s="661">
        <f>IF('ปฏิทิน'!FB5="","",CHOOSE(WEEKDAY('ปฏิทิน'!FB5,2),"จ.","อ.","พ.","พฤ.","ศ.","ส.","อา."))</f>
        <v/>
      </c>
      <c r="FC7" s="661">
        <f>IF('ปฏิทิน'!FC5="","",CHOOSE(WEEKDAY('ปฏิทิน'!FC5,2),"จ.","อ.","พ.","พฤ.","ศ.","ส.","อา."))</f>
        <v/>
      </c>
      <c r="FD7" s="661">
        <f>IF('ปฏิทิน'!FD5="","",CHOOSE(WEEKDAY('ปฏิทิน'!FD5,2),"จ.","อ.","พ.","พฤ.","ศ.","ส.","อา."))</f>
        <v/>
      </c>
      <c r="FE7" s="661">
        <f>IF('ปฏิทิน'!FE5="","",CHOOSE(WEEKDAY('ปฏิทิน'!FE5,2),"จ.","อ.","พ.","พฤ.","ศ.","ส.","อา."))</f>
        <v/>
      </c>
      <c r="FF7" s="661">
        <f>IF('ปฏิทิน'!FF5="","",CHOOSE(WEEKDAY('ปฏิทิน'!FF5,2),"จ.","อ.","พ.","พฤ.","ศ.","ส.","อา."))</f>
        <v/>
      </c>
      <c r="FG7" s="661">
        <f>IF('ปฏิทิน'!FG5="","",CHOOSE(WEEKDAY('ปฏิทิน'!FG5,2),"จ.","อ.","พ.","พฤ.","ศ.","ส.","อา."))</f>
        <v/>
      </c>
      <c r="FH7" s="661">
        <f>IF('ปฏิทิน'!FH5="","",CHOOSE(WEEKDAY('ปฏิทิน'!FH5,2),"จ.","อ.","พ.","พฤ.","ศ.","ส.","อา."))</f>
        <v/>
      </c>
      <c r="FI7" s="661">
        <f>IF('ปฏิทิน'!FI5="","",CHOOSE(WEEKDAY('ปฏิทิน'!FI5,2),"จ.","อ.","พ.","พฤ.","ศ.","ส.","อา."))</f>
        <v/>
      </c>
      <c r="FJ7" s="661">
        <f>IF('ปฏิทิน'!FJ5="","",CHOOSE(WEEKDAY('ปฏิทิน'!FJ5,2),"จ.","อ.","พ.","พฤ.","ศ.","ส.","อา."))</f>
        <v/>
      </c>
      <c r="FK7" s="661">
        <f>IF('ปฏิทิน'!FK5="","",CHOOSE(WEEKDAY('ปฏิทิน'!FK5,2),"จ.","อ.","พ.","พฤ.","ศ.","ส.","อา."))</f>
        <v/>
      </c>
      <c r="FL7" s="661">
        <f>IF('ปฏิทิน'!FL5="","",CHOOSE(WEEKDAY('ปฏิทิน'!FL5,2),"จ.","อ.","พ.","พฤ.","ศ.","ส.","อา."))</f>
        <v/>
      </c>
      <c r="FM7" s="661">
        <f>IF('ปฏิทิน'!FM5="","",CHOOSE(WEEKDAY('ปฏิทิน'!FM5,2),"จ.","อ.","พ.","พฤ.","ศ.","ส.","อา."))</f>
        <v/>
      </c>
      <c r="FN7" s="661">
        <f>IF('ปฏิทิน'!FN5="","",CHOOSE(WEEKDAY('ปฏิทิน'!FN5,2),"จ.","อ.","พ.","พฤ.","ศ.","ส.","อา."))</f>
        <v/>
      </c>
      <c r="FO7" s="662" t="n"/>
    </row>
    <row r="8" ht="64" customHeight="1">
      <c r="D8" s="663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662" t="n"/>
      <c r="AL8" s="663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662" t="n"/>
      <c r="BT8" s="663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662" t="n"/>
      <c r="DB8" s="663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662" t="n"/>
      <c r="EJ8" s="663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662" t="n"/>
    </row>
    <row r="9">
      <c r="A9" s="218" t="n">
        <v>1</v>
      </c>
      <c r="B9" s="219">
        <f>'ข้อมูลนักเรียน'!T9</f>
        <v/>
      </c>
      <c r="C9" s="664" t="n"/>
      <c r="D9" s="665" t="n"/>
      <c r="E9" s="244" t="n"/>
      <c r="F9" s="244" t="n"/>
      <c r="G9" s="244" t="n"/>
      <c r="H9" s="244" t="n"/>
      <c r="I9" s="244" t="n"/>
      <c r="J9" s="244" t="n"/>
      <c r="K9" s="244" t="n"/>
      <c r="L9" s="244" t="n"/>
      <c r="M9" s="244" t="n"/>
      <c r="N9" s="244" t="n"/>
      <c r="O9" s="244" t="n"/>
      <c r="P9" s="244" t="n"/>
      <c r="Q9" s="244" t="n"/>
      <c r="R9" s="244" t="n"/>
      <c r="S9" s="244" t="n"/>
      <c r="T9" s="244" t="n"/>
      <c r="U9" s="244" t="n"/>
      <c r="V9" s="244" t="n"/>
      <c r="W9" s="244" t="n"/>
      <c r="X9" s="244" t="n"/>
      <c r="Y9" s="244" t="n"/>
      <c r="Z9" s="244" t="n"/>
      <c r="AA9" s="244" t="n"/>
      <c r="AB9" s="244" t="n"/>
      <c r="AC9" s="244" t="n"/>
      <c r="AD9" s="244" t="n"/>
      <c r="AE9" s="244" t="n"/>
      <c r="AF9" s="244" t="n"/>
      <c r="AG9" s="244" t="n"/>
      <c r="AH9" s="244" t="n"/>
      <c r="AI9" s="666">
        <f>IF($B9="","",COUNTIF(D9:AH9,"✓"))</f>
        <v/>
      </c>
      <c r="AJ9" s="667">
        <f>IF($B9="","",COUNTIF(D9:AH9,"✗"))</f>
        <v/>
      </c>
      <c r="AK9" s="668">
        <f>IF($B9="","",IFERROR(ROUND(COUNTIF(D9:AH9,"✓")/(COUNTIF(D9:AH9,"✓")+COUNTIF(D9:AH9,"✗"))*100,0),""))</f>
        <v/>
      </c>
      <c r="AL9" s="665" t="n"/>
      <c r="AM9" s="244" t="n"/>
      <c r="AN9" s="244" t="n"/>
      <c r="AO9" s="244" t="n"/>
      <c r="AP9" s="244" t="n"/>
      <c r="AQ9" s="244" t="n"/>
      <c r="AR9" s="244" t="n"/>
      <c r="AS9" s="244" t="n"/>
      <c r="AT9" s="244" t="n"/>
      <c r="AU9" s="244" t="n"/>
      <c r="AV9" s="244" t="n"/>
      <c r="AW9" s="244" t="n"/>
      <c r="AX9" s="244" t="n"/>
      <c r="AY9" s="244" t="n"/>
      <c r="AZ9" s="244" t="n"/>
      <c r="BA9" s="244" t="n"/>
      <c r="BB9" s="244" t="n"/>
      <c r="BC9" s="244" t="n"/>
      <c r="BD9" s="244" t="n"/>
      <c r="BE9" s="244" t="n"/>
      <c r="BF9" s="244" t="n"/>
      <c r="BG9" s="244" t="n"/>
      <c r="BH9" s="244" t="n"/>
      <c r="BI9" s="244" t="n"/>
      <c r="BJ9" s="244" t="n"/>
      <c r="BK9" s="244" t="n"/>
      <c r="BL9" s="244" t="n"/>
      <c r="BM9" s="244" t="n"/>
      <c r="BN9" s="244" t="n"/>
      <c r="BO9" s="244" t="n"/>
      <c r="BP9" s="244" t="n"/>
      <c r="BQ9" s="666">
        <f>IF($B9="","",COUNTIF(AL9:BP9,"✓"))</f>
        <v/>
      </c>
      <c r="BR9" s="667">
        <f>IF($B9="","",COUNTIF(AL9:BP9,"✗"))</f>
        <v/>
      </c>
      <c r="BS9" s="668">
        <f>IF($B9="","",IFERROR(ROUND(COUNTIF(AL9:BP9,"✓")/(COUNTIF(AL9:BP9,"✓")+COUNTIF(AL9:BP9,"✗"))*100,0),""))</f>
        <v/>
      </c>
      <c r="BT9" s="665" t="n"/>
      <c r="BU9" s="244" t="n"/>
      <c r="BV9" s="244" t="n"/>
      <c r="BW9" s="244" t="n"/>
      <c r="BX9" s="244" t="n"/>
      <c r="BY9" s="244" t="n"/>
      <c r="BZ9" s="244" t="n"/>
      <c r="CA9" s="244" t="n"/>
      <c r="CB9" s="244" t="n"/>
      <c r="CC9" s="244" t="n"/>
      <c r="CD9" s="244" t="n"/>
      <c r="CE9" s="244" t="n"/>
      <c r="CF9" s="244" t="n"/>
      <c r="CG9" s="244" t="n"/>
      <c r="CH9" s="244" t="n"/>
      <c r="CI9" s="244" t="n"/>
      <c r="CJ9" s="244" t="n"/>
      <c r="CK9" s="244" t="n"/>
      <c r="CL9" s="244" t="n"/>
      <c r="CM9" s="244" t="n"/>
      <c r="CN9" s="244" t="n"/>
      <c r="CO9" s="244" t="n"/>
      <c r="CP9" s="244" t="n"/>
      <c r="CQ9" s="244" t="n"/>
      <c r="CR9" s="244" t="n"/>
      <c r="CS9" s="244" t="n"/>
      <c r="CT9" s="244" t="n"/>
      <c r="CU9" s="244" t="n"/>
      <c r="CV9" s="244" t="n"/>
      <c r="CW9" s="244" t="n"/>
      <c r="CX9" s="244" t="n"/>
      <c r="CY9" s="666">
        <f>IF($B9="","",COUNTIF(BT9:CX9,"✓"))</f>
        <v/>
      </c>
      <c r="CZ9" s="667">
        <f>IF($B9="","",COUNTIF(BT9:CX9,"✗"))</f>
        <v/>
      </c>
      <c r="DA9" s="668">
        <f>IF($B9="","",IFERROR(ROUND(COUNTIF(BT9:CX9,"✓")/(COUNTIF(BT9:CX9,"✓")+COUNTIF(BT9:CX9,"✗"))*100,0),""))</f>
        <v/>
      </c>
      <c r="DB9" s="665" t="n"/>
      <c r="DC9" s="244" t="n"/>
      <c r="DD9" s="244" t="n"/>
      <c r="DE9" s="244" t="n"/>
      <c r="DF9" s="244" t="n"/>
      <c r="DG9" s="244" t="n"/>
      <c r="DH9" s="244" t="n"/>
      <c r="DI9" s="244" t="n"/>
      <c r="DJ9" s="244" t="n"/>
      <c r="DK9" s="244" t="n"/>
      <c r="DL9" s="244" t="n"/>
      <c r="DM9" s="244" t="n"/>
      <c r="DN9" s="244" t="n"/>
      <c r="DO9" s="244" t="n"/>
      <c r="DP9" s="244" t="n"/>
      <c r="DQ9" s="244" t="n"/>
      <c r="DR9" s="244" t="n"/>
      <c r="DS9" s="244" t="n"/>
      <c r="DT9" s="244" t="n"/>
      <c r="DU9" s="244" t="n"/>
      <c r="DV9" s="244" t="n"/>
      <c r="DW9" s="244" t="n"/>
      <c r="DX9" s="244" t="n"/>
      <c r="DY9" s="244" t="n"/>
      <c r="DZ9" s="244" t="n"/>
      <c r="EA9" s="244" t="n"/>
      <c r="EB9" s="244" t="n"/>
      <c r="EC9" s="244" t="n"/>
      <c r="ED9" s="244" t="n"/>
      <c r="EE9" s="244" t="n"/>
      <c r="EF9" s="244" t="n"/>
      <c r="EG9" s="666">
        <f>IF($B9="","",COUNTIF(DB9:EF9,"✓"))</f>
        <v/>
      </c>
      <c r="EH9" s="667">
        <f>IF($B9="","",COUNTIF(DB9:EF9,"✗"))</f>
        <v/>
      </c>
      <c r="EI9" s="668">
        <f>IF($B9="","",IFERROR(ROUND(COUNTIF(DB9:EF9,"✓")/(COUNTIF(DB9:EF9,"✓")+COUNTIF(DB9:EF9,"✗"))*100,0),""))</f>
        <v/>
      </c>
      <c r="EJ9" s="665" t="n"/>
      <c r="EK9" s="244" t="n"/>
      <c r="EL9" s="244" t="n"/>
      <c r="EM9" s="244" t="n"/>
      <c r="EN9" s="244" t="n"/>
      <c r="EO9" s="244" t="n"/>
      <c r="EP9" s="244" t="n"/>
      <c r="EQ9" s="244" t="n"/>
      <c r="ER9" s="244" t="n"/>
      <c r="ES9" s="244" t="n"/>
      <c r="ET9" s="244" t="n"/>
      <c r="EU9" s="244" t="n"/>
      <c r="EV9" s="244" t="n"/>
      <c r="EW9" s="244" t="n"/>
      <c r="EX9" s="244" t="n"/>
      <c r="EY9" s="244" t="n"/>
      <c r="EZ9" s="244" t="n"/>
      <c r="FA9" s="244" t="n"/>
      <c r="FB9" s="244" t="n"/>
      <c r="FC9" s="244" t="n"/>
      <c r="FD9" s="244" t="n"/>
      <c r="FE9" s="244" t="n"/>
      <c r="FF9" s="244" t="n"/>
      <c r="FG9" s="244" t="n"/>
      <c r="FH9" s="244" t="n"/>
      <c r="FI9" s="244" t="n"/>
      <c r="FJ9" s="244" t="n"/>
      <c r="FK9" s="244" t="n"/>
      <c r="FL9" s="244" t="n"/>
      <c r="FM9" s="244" t="n"/>
      <c r="FN9" s="244" t="n"/>
      <c r="FO9" s="666">
        <f>IF($B9="","",COUNTIF(EJ9:FN9,"✓"))</f>
        <v/>
      </c>
      <c r="FP9" s="667">
        <f>IF($B9="","",COUNTIF(EJ9:FN9,"✗"))</f>
        <v/>
      </c>
      <c r="FQ9" s="668">
        <f>IF($B9="","",IFERROR(ROUND(COUNTIF(EJ9:FN9,"✓")/(COUNTIF(EJ9:FN9,"✓")+COUNTIF(EJ9:FN9,"✗"))*100,0),""))</f>
        <v/>
      </c>
    </row>
    <row r="10">
      <c r="A10" s="226" t="n">
        <v>2</v>
      </c>
      <c r="B10" s="227">
        <f>'ข้อมูลนักเรียน'!T10</f>
        <v/>
      </c>
      <c r="C10" s="664" t="n"/>
      <c r="D10" s="665" t="n"/>
      <c r="E10" s="244" t="n"/>
      <c r="F10" s="244" t="n"/>
      <c r="G10" s="244" t="n"/>
      <c r="H10" s="244" t="n"/>
      <c r="I10" s="244" t="n"/>
      <c r="J10" s="244" t="n"/>
      <c r="K10" s="244" t="n"/>
      <c r="L10" s="244" t="n"/>
      <c r="M10" s="244" t="n"/>
      <c r="N10" s="244" t="n"/>
      <c r="O10" s="244" t="n"/>
      <c r="P10" s="244" t="n"/>
      <c r="Q10" s="244" t="n"/>
      <c r="R10" s="244" t="n"/>
      <c r="S10" s="244" t="n"/>
      <c r="T10" s="244" t="n"/>
      <c r="U10" s="244" t="n"/>
      <c r="V10" s="244" t="n"/>
      <c r="W10" s="244" t="n"/>
      <c r="X10" s="244" t="n"/>
      <c r="Y10" s="244" t="n"/>
      <c r="Z10" s="244" t="n"/>
      <c r="AA10" s="244" t="n"/>
      <c r="AB10" s="244" t="n"/>
      <c r="AC10" s="244" t="n"/>
      <c r="AD10" s="244" t="n"/>
      <c r="AE10" s="244" t="n"/>
      <c r="AF10" s="244" t="n"/>
      <c r="AG10" s="244" t="n"/>
      <c r="AH10" s="244" t="n"/>
      <c r="AI10" s="666">
        <f>IF($B10="","",COUNTIF(D10:AH10,"✓"))</f>
        <v/>
      </c>
      <c r="AJ10" s="667">
        <f>IF($B10="","",COUNTIF(D10:AH10,"✗"))</f>
        <v/>
      </c>
      <c r="AK10" s="668">
        <f>IF($B10="","",IFERROR(ROUND(COUNTIF(D10:AH10,"✓")/(COUNTIF(D10:AH10,"✓")+COUNTIF(D10:AH10,"✗"))*100,0),""))</f>
        <v/>
      </c>
      <c r="AL10" s="665" t="n"/>
      <c r="AM10" s="244" t="n"/>
      <c r="AN10" s="244" t="n"/>
      <c r="AO10" s="244" t="n"/>
      <c r="AP10" s="244" t="n"/>
      <c r="AQ10" s="244" t="n"/>
      <c r="AR10" s="244" t="n"/>
      <c r="AS10" s="244" t="n"/>
      <c r="AT10" s="244" t="n"/>
      <c r="AU10" s="244" t="n"/>
      <c r="AV10" s="244" t="n"/>
      <c r="AW10" s="244" t="n"/>
      <c r="AX10" s="244" t="n"/>
      <c r="AY10" s="244" t="n"/>
      <c r="AZ10" s="244" t="n"/>
      <c r="BA10" s="244" t="n"/>
      <c r="BB10" s="244" t="n"/>
      <c r="BC10" s="244" t="n"/>
      <c r="BD10" s="244" t="n"/>
      <c r="BE10" s="244" t="n"/>
      <c r="BF10" s="244" t="n"/>
      <c r="BG10" s="244" t="n"/>
      <c r="BH10" s="244" t="n"/>
      <c r="BI10" s="244" t="n"/>
      <c r="BJ10" s="244" t="n"/>
      <c r="BK10" s="244" t="n"/>
      <c r="BL10" s="244" t="n"/>
      <c r="BM10" s="244" t="n"/>
      <c r="BN10" s="244" t="n"/>
      <c r="BO10" s="244" t="n"/>
      <c r="BP10" s="244" t="n"/>
      <c r="BQ10" s="666">
        <f>IF($B10="","",COUNTIF(AL10:BP10,"✓"))</f>
        <v/>
      </c>
      <c r="BR10" s="667">
        <f>IF($B10="","",COUNTIF(AL10:BP10,"✗"))</f>
        <v/>
      </c>
      <c r="BS10" s="668">
        <f>IF($B10="","",IFERROR(ROUND(COUNTIF(AL10:BP10,"✓")/(COUNTIF(AL10:BP10,"✓")+COUNTIF(AL10:BP10,"✗"))*100,0),""))</f>
        <v/>
      </c>
      <c r="BT10" s="665" t="n"/>
      <c r="BU10" s="244" t="n"/>
      <c r="BV10" s="244" t="n"/>
      <c r="BW10" s="244" t="n"/>
      <c r="BX10" s="244" t="n"/>
      <c r="BY10" s="244" t="n"/>
      <c r="BZ10" s="244" t="n"/>
      <c r="CA10" s="244" t="n"/>
      <c r="CB10" s="244" t="n"/>
      <c r="CC10" s="244" t="n"/>
      <c r="CD10" s="244" t="n"/>
      <c r="CE10" s="244" t="n"/>
      <c r="CF10" s="244" t="n"/>
      <c r="CG10" s="244" t="n"/>
      <c r="CH10" s="244" t="n"/>
      <c r="CI10" s="244" t="n"/>
      <c r="CJ10" s="244" t="n"/>
      <c r="CK10" s="244" t="n"/>
      <c r="CL10" s="244" t="n"/>
      <c r="CM10" s="244" t="n"/>
      <c r="CN10" s="244" t="n"/>
      <c r="CO10" s="244" t="n"/>
      <c r="CP10" s="244" t="n"/>
      <c r="CQ10" s="244" t="n"/>
      <c r="CR10" s="244" t="n"/>
      <c r="CS10" s="244" t="n"/>
      <c r="CT10" s="244" t="n"/>
      <c r="CU10" s="244" t="n"/>
      <c r="CV10" s="244" t="n"/>
      <c r="CW10" s="244" t="n"/>
      <c r="CX10" s="244" t="n"/>
      <c r="CY10" s="666">
        <f>IF($B10="","",COUNTIF(BT10:CX10,"✓"))</f>
        <v/>
      </c>
      <c r="CZ10" s="667">
        <f>IF($B10="","",COUNTIF(BT10:CX10,"✗"))</f>
        <v/>
      </c>
      <c r="DA10" s="668">
        <f>IF($B10="","",IFERROR(ROUND(COUNTIF(BT10:CX10,"✓")/(COUNTIF(BT10:CX10,"✓")+COUNTIF(BT10:CX10,"✗"))*100,0),""))</f>
        <v/>
      </c>
      <c r="DB10" s="665" t="n"/>
      <c r="DC10" s="244" t="n"/>
      <c r="DD10" s="244" t="n"/>
      <c r="DE10" s="244" t="n"/>
      <c r="DF10" s="244" t="n"/>
      <c r="DG10" s="244" t="n"/>
      <c r="DH10" s="244" t="n"/>
      <c r="DI10" s="244" t="n"/>
      <c r="DJ10" s="244" t="n"/>
      <c r="DK10" s="244" t="n"/>
      <c r="DL10" s="244" t="n"/>
      <c r="DM10" s="244" t="n"/>
      <c r="DN10" s="244" t="n"/>
      <c r="DO10" s="244" t="n"/>
      <c r="DP10" s="244" t="n"/>
      <c r="DQ10" s="244" t="n"/>
      <c r="DR10" s="244" t="n"/>
      <c r="DS10" s="244" t="n"/>
      <c r="DT10" s="244" t="n"/>
      <c r="DU10" s="244" t="n"/>
      <c r="DV10" s="244" t="n"/>
      <c r="DW10" s="244" t="n"/>
      <c r="DX10" s="244" t="n"/>
      <c r="DY10" s="244" t="n"/>
      <c r="DZ10" s="244" t="n"/>
      <c r="EA10" s="244" t="n"/>
      <c r="EB10" s="244" t="n"/>
      <c r="EC10" s="244" t="n"/>
      <c r="ED10" s="244" t="n"/>
      <c r="EE10" s="244" t="n"/>
      <c r="EF10" s="244" t="n"/>
      <c r="EG10" s="666">
        <f>IF($B10="","",COUNTIF(DB10:EF10,"✓"))</f>
        <v/>
      </c>
      <c r="EH10" s="667">
        <f>IF($B10="","",COUNTIF(DB10:EF10,"✗"))</f>
        <v/>
      </c>
      <c r="EI10" s="668">
        <f>IF($B10="","",IFERROR(ROUND(COUNTIF(DB10:EF10,"✓")/(COUNTIF(DB10:EF10,"✓")+COUNTIF(DB10:EF10,"✗"))*100,0),""))</f>
        <v/>
      </c>
      <c r="EJ10" s="665" t="n"/>
      <c r="EK10" s="244" t="n"/>
      <c r="EL10" s="244" t="n"/>
      <c r="EM10" s="244" t="n"/>
      <c r="EN10" s="244" t="n"/>
      <c r="EO10" s="244" t="n"/>
      <c r="EP10" s="244" t="n"/>
      <c r="EQ10" s="244" t="n"/>
      <c r="ER10" s="244" t="n"/>
      <c r="ES10" s="244" t="n"/>
      <c r="ET10" s="244" t="n"/>
      <c r="EU10" s="244" t="n"/>
      <c r="EV10" s="244" t="n"/>
      <c r="EW10" s="244" t="n"/>
      <c r="EX10" s="244" t="n"/>
      <c r="EY10" s="244" t="n"/>
      <c r="EZ10" s="244" t="n"/>
      <c r="FA10" s="244" t="n"/>
      <c r="FB10" s="244" t="n"/>
      <c r="FC10" s="244" t="n"/>
      <c r="FD10" s="244" t="n"/>
      <c r="FE10" s="244" t="n"/>
      <c r="FF10" s="244" t="n"/>
      <c r="FG10" s="244" t="n"/>
      <c r="FH10" s="244" t="n"/>
      <c r="FI10" s="244" t="n"/>
      <c r="FJ10" s="244" t="n"/>
      <c r="FK10" s="244" t="n"/>
      <c r="FL10" s="244" t="n"/>
      <c r="FM10" s="244" t="n"/>
      <c r="FN10" s="244" t="n"/>
      <c r="FO10" s="666">
        <f>IF($B10="","",COUNTIF(EJ10:FN10,"✓"))</f>
        <v/>
      </c>
      <c r="FP10" s="667">
        <f>IF($B10="","",COUNTIF(EJ10:FN10,"✗"))</f>
        <v/>
      </c>
      <c r="FQ10" s="668">
        <f>IF($B10="","",IFERROR(ROUND(COUNTIF(EJ10:FN10,"✓")/(COUNTIF(EJ10:FN10,"✓")+COUNTIF(EJ10:FN10,"✗"))*100,0),""))</f>
        <v/>
      </c>
    </row>
    <row r="11">
      <c r="A11" s="218" t="n">
        <v>3</v>
      </c>
      <c r="B11" s="219">
        <f>'ข้อมูลนักเรียน'!T11</f>
        <v/>
      </c>
      <c r="C11" s="664" t="n"/>
      <c r="D11" s="665" t="n"/>
      <c r="E11" s="244" t="n"/>
      <c r="F11" s="244" t="n"/>
      <c r="G11" s="244" t="n"/>
      <c r="H11" s="244" t="n"/>
      <c r="I11" s="244" t="n"/>
      <c r="J11" s="244" t="n"/>
      <c r="K11" s="244" t="n"/>
      <c r="L11" s="244" t="n"/>
      <c r="M11" s="244" t="n"/>
      <c r="N11" s="244" t="n"/>
      <c r="O11" s="244" t="n"/>
      <c r="P11" s="244" t="n"/>
      <c r="Q11" s="244" t="n"/>
      <c r="R11" s="244" t="n"/>
      <c r="S11" s="244" t="n"/>
      <c r="T11" s="244" t="n"/>
      <c r="U11" s="244" t="n"/>
      <c r="V11" s="244" t="n"/>
      <c r="W11" s="244" t="n"/>
      <c r="X11" s="244" t="n"/>
      <c r="Y11" s="244" t="n"/>
      <c r="Z11" s="244" t="n"/>
      <c r="AA11" s="244" t="n"/>
      <c r="AB11" s="244" t="n"/>
      <c r="AC11" s="244" t="n"/>
      <c r="AD11" s="244" t="n"/>
      <c r="AE11" s="244" t="n"/>
      <c r="AF11" s="244" t="n"/>
      <c r="AG11" s="244" t="n"/>
      <c r="AH11" s="244" t="n"/>
      <c r="AI11" s="666">
        <f>IF($B11="","",COUNTIF(D11:AH11,"✓"))</f>
        <v/>
      </c>
      <c r="AJ11" s="667">
        <f>IF($B11="","",COUNTIF(D11:AH11,"✗"))</f>
        <v/>
      </c>
      <c r="AK11" s="668">
        <f>IF($B11="","",IFERROR(ROUND(COUNTIF(D11:AH11,"✓")/(COUNTIF(D11:AH11,"✓")+COUNTIF(D11:AH11,"✗"))*100,0),""))</f>
        <v/>
      </c>
      <c r="AL11" s="665" t="n"/>
      <c r="AM11" s="244" t="n"/>
      <c r="AN11" s="244" t="n"/>
      <c r="AO11" s="244" t="n"/>
      <c r="AP11" s="244" t="n"/>
      <c r="AQ11" s="244" t="n"/>
      <c r="AR11" s="244" t="n"/>
      <c r="AS11" s="244" t="n"/>
      <c r="AT11" s="244" t="n"/>
      <c r="AU11" s="244" t="n"/>
      <c r="AV11" s="244" t="n"/>
      <c r="AW11" s="244" t="n"/>
      <c r="AX11" s="244" t="n"/>
      <c r="AY11" s="244" t="n"/>
      <c r="AZ11" s="244" t="n"/>
      <c r="BA11" s="244" t="n"/>
      <c r="BB11" s="244" t="n"/>
      <c r="BC11" s="244" t="n"/>
      <c r="BD11" s="244" t="n"/>
      <c r="BE11" s="244" t="n"/>
      <c r="BF11" s="244" t="n"/>
      <c r="BG11" s="244" t="n"/>
      <c r="BH11" s="244" t="n"/>
      <c r="BI11" s="244" t="n"/>
      <c r="BJ11" s="244" t="n"/>
      <c r="BK11" s="244" t="n"/>
      <c r="BL11" s="244" t="n"/>
      <c r="BM11" s="244" t="n"/>
      <c r="BN11" s="244" t="n"/>
      <c r="BO11" s="244" t="n"/>
      <c r="BP11" s="244" t="n"/>
      <c r="BQ11" s="666">
        <f>IF($B11="","",COUNTIF(AL11:BP11,"✓"))</f>
        <v/>
      </c>
      <c r="BR11" s="667">
        <f>IF($B11="","",COUNTIF(AL11:BP11,"✗"))</f>
        <v/>
      </c>
      <c r="BS11" s="668">
        <f>IF($B11="","",IFERROR(ROUND(COUNTIF(AL11:BP11,"✓")/(COUNTIF(AL11:BP11,"✓")+COUNTIF(AL11:BP11,"✗"))*100,0),""))</f>
        <v/>
      </c>
      <c r="BT11" s="665" t="n"/>
      <c r="BU11" s="244" t="n"/>
      <c r="BV11" s="244" t="n"/>
      <c r="BW11" s="244" t="n"/>
      <c r="BX11" s="244" t="n"/>
      <c r="BY11" s="244" t="n"/>
      <c r="BZ11" s="244" t="n"/>
      <c r="CA11" s="244" t="n"/>
      <c r="CB11" s="244" t="n"/>
      <c r="CC11" s="244" t="n"/>
      <c r="CD11" s="244" t="n"/>
      <c r="CE11" s="244" t="n"/>
      <c r="CF11" s="244" t="n"/>
      <c r="CG11" s="244" t="n"/>
      <c r="CH11" s="244" t="n"/>
      <c r="CI11" s="244" t="n"/>
      <c r="CJ11" s="244" t="n"/>
      <c r="CK11" s="244" t="n"/>
      <c r="CL11" s="244" t="n"/>
      <c r="CM11" s="244" t="n"/>
      <c r="CN11" s="244" t="n"/>
      <c r="CO11" s="244" t="n"/>
      <c r="CP11" s="244" t="n"/>
      <c r="CQ11" s="244" t="n"/>
      <c r="CR11" s="244" t="n"/>
      <c r="CS11" s="244" t="n"/>
      <c r="CT11" s="244" t="n"/>
      <c r="CU11" s="244" t="n"/>
      <c r="CV11" s="244" t="n"/>
      <c r="CW11" s="244" t="n"/>
      <c r="CX11" s="244" t="n"/>
      <c r="CY11" s="666">
        <f>IF($B11="","",COUNTIF(BT11:CX11,"✓"))</f>
        <v/>
      </c>
      <c r="CZ11" s="667">
        <f>IF($B11="","",COUNTIF(BT11:CX11,"✗"))</f>
        <v/>
      </c>
      <c r="DA11" s="668">
        <f>IF($B11="","",IFERROR(ROUND(COUNTIF(BT11:CX11,"✓")/(COUNTIF(BT11:CX11,"✓")+COUNTIF(BT11:CX11,"✗"))*100,0),""))</f>
        <v/>
      </c>
      <c r="DB11" s="665" t="n"/>
      <c r="DC11" s="244" t="n"/>
      <c r="DD11" s="244" t="n"/>
      <c r="DE11" s="244" t="n"/>
      <c r="DF11" s="244" t="n"/>
      <c r="DG11" s="244" t="n"/>
      <c r="DH11" s="244" t="n"/>
      <c r="DI11" s="244" t="n"/>
      <c r="DJ11" s="244" t="n"/>
      <c r="DK11" s="244" t="n"/>
      <c r="DL11" s="244" t="n"/>
      <c r="DM11" s="244" t="n"/>
      <c r="DN11" s="244" t="n"/>
      <c r="DO11" s="244" t="n"/>
      <c r="DP11" s="244" t="n"/>
      <c r="DQ11" s="244" t="n"/>
      <c r="DR11" s="244" t="n"/>
      <c r="DS11" s="244" t="n"/>
      <c r="DT11" s="244" t="n"/>
      <c r="DU11" s="244" t="n"/>
      <c r="DV11" s="244" t="n"/>
      <c r="DW11" s="244" t="n"/>
      <c r="DX11" s="244" t="n"/>
      <c r="DY11" s="244" t="n"/>
      <c r="DZ11" s="244" t="n"/>
      <c r="EA11" s="244" t="n"/>
      <c r="EB11" s="244" t="n"/>
      <c r="EC11" s="244" t="n"/>
      <c r="ED11" s="244" t="n"/>
      <c r="EE11" s="244" t="n"/>
      <c r="EF11" s="244" t="n"/>
      <c r="EG11" s="666">
        <f>IF($B11="","",COUNTIF(DB11:EF11,"✓"))</f>
        <v/>
      </c>
      <c r="EH11" s="667">
        <f>IF($B11="","",COUNTIF(DB11:EF11,"✗"))</f>
        <v/>
      </c>
      <c r="EI11" s="668">
        <f>IF($B11="","",IFERROR(ROUND(COUNTIF(DB11:EF11,"✓")/(COUNTIF(DB11:EF11,"✓")+COUNTIF(DB11:EF11,"✗"))*100,0),""))</f>
        <v/>
      </c>
      <c r="EJ11" s="665" t="n"/>
      <c r="EK11" s="244" t="n"/>
      <c r="EL11" s="244" t="n"/>
      <c r="EM11" s="244" t="n"/>
      <c r="EN11" s="244" t="n"/>
      <c r="EO11" s="244" t="n"/>
      <c r="EP11" s="244" t="n"/>
      <c r="EQ11" s="244" t="n"/>
      <c r="ER11" s="244" t="n"/>
      <c r="ES11" s="244" t="n"/>
      <c r="ET11" s="244" t="n"/>
      <c r="EU11" s="244" t="n"/>
      <c r="EV11" s="244" t="n"/>
      <c r="EW11" s="244" t="n"/>
      <c r="EX11" s="244" t="n"/>
      <c r="EY11" s="244" t="n"/>
      <c r="EZ11" s="244" t="n"/>
      <c r="FA11" s="244" t="n"/>
      <c r="FB11" s="244" t="n"/>
      <c r="FC11" s="244" t="n"/>
      <c r="FD11" s="244" t="n"/>
      <c r="FE11" s="244" t="n"/>
      <c r="FF11" s="244" t="n"/>
      <c r="FG11" s="244" t="n"/>
      <c r="FH11" s="244" t="n"/>
      <c r="FI11" s="244" t="n"/>
      <c r="FJ11" s="244" t="n"/>
      <c r="FK11" s="244" t="n"/>
      <c r="FL11" s="244" t="n"/>
      <c r="FM11" s="244" t="n"/>
      <c r="FN11" s="244" t="n"/>
      <c r="FO11" s="666">
        <f>IF($B11="","",COUNTIF(EJ11:FN11,"✓"))</f>
        <v/>
      </c>
      <c r="FP11" s="667">
        <f>IF($B11="","",COUNTIF(EJ11:FN11,"✗"))</f>
        <v/>
      </c>
      <c r="FQ11" s="668">
        <f>IF($B11="","",IFERROR(ROUND(COUNTIF(EJ11:FN11,"✓")/(COUNTIF(EJ11:FN11,"✓")+COUNTIF(EJ11:FN11,"✗"))*100,0),""))</f>
        <v/>
      </c>
    </row>
    <row r="12">
      <c r="A12" s="226" t="n">
        <v>4</v>
      </c>
      <c r="B12" s="227">
        <f>'ข้อมูลนักเรียน'!T12</f>
        <v/>
      </c>
      <c r="C12" s="664" t="n"/>
      <c r="D12" s="665" t="n"/>
      <c r="E12" s="244" t="n"/>
      <c r="F12" s="244" t="n"/>
      <c r="G12" s="244" t="n"/>
      <c r="H12" s="244" t="n"/>
      <c r="I12" s="244" t="n"/>
      <c r="J12" s="244" t="n"/>
      <c r="K12" s="244" t="n"/>
      <c r="L12" s="244" t="n"/>
      <c r="M12" s="244" t="n"/>
      <c r="N12" s="244" t="n"/>
      <c r="O12" s="244" t="n"/>
      <c r="P12" s="244" t="n"/>
      <c r="Q12" s="244" t="n"/>
      <c r="R12" s="244" t="n"/>
      <c r="S12" s="244" t="n"/>
      <c r="T12" s="244" t="n"/>
      <c r="U12" s="244" t="n"/>
      <c r="V12" s="244" t="n"/>
      <c r="W12" s="244" t="n"/>
      <c r="X12" s="244" t="n"/>
      <c r="Y12" s="244" t="n"/>
      <c r="Z12" s="244" t="n"/>
      <c r="AA12" s="244" t="n"/>
      <c r="AB12" s="244" t="n"/>
      <c r="AC12" s="244" t="n"/>
      <c r="AD12" s="244" t="n"/>
      <c r="AE12" s="244" t="n"/>
      <c r="AF12" s="244" t="n"/>
      <c r="AG12" s="244" t="n"/>
      <c r="AH12" s="244" t="n"/>
      <c r="AI12" s="666">
        <f>IF($B12="","",COUNTIF(D12:AH12,"✓"))</f>
        <v/>
      </c>
      <c r="AJ12" s="667">
        <f>IF($B12="","",COUNTIF(D12:AH12,"✗"))</f>
        <v/>
      </c>
      <c r="AK12" s="668">
        <f>IF($B12="","",IFERROR(ROUND(COUNTIF(D12:AH12,"✓")/(COUNTIF(D12:AH12,"✓")+COUNTIF(D12:AH12,"✗"))*100,0),""))</f>
        <v/>
      </c>
      <c r="AL12" s="665" t="n"/>
      <c r="AM12" s="244" t="n"/>
      <c r="AN12" s="244" t="n"/>
      <c r="AO12" s="244" t="n"/>
      <c r="AP12" s="244" t="n"/>
      <c r="AQ12" s="244" t="n"/>
      <c r="AR12" s="244" t="n"/>
      <c r="AS12" s="244" t="n"/>
      <c r="AT12" s="244" t="n"/>
      <c r="AU12" s="244" t="n"/>
      <c r="AV12" s="244" t="n"/>
      <c r="AW12" s="244" t="n"/>
      <c r="AX12" s="244" t="n"/>
      <c r="AY12" s="244" t="n"/>
      <c r="AZ12" s="244" t="n"/>
      <c r="BA12" s="244" t="n"/>
      <c r="BB12" s="244" t="n"/>
      <c r="BC12" s="244" t="n"/>
      <c r="BD12" s="244" t="n"/>
      <c r="BE12" s="244" t="n"/>
      <c r="BF12" s="244" t="n"/>
      <c r="BG12" s="244" t="n"/>
      <c r="BH12" s="244" t="n"/>
      <c r="BI12" s="244" t="n"/>
      <c r="BJ12" s="244" t="n"/>
      <c r="BK12" s="244" t="n"/>
      <c r="BL12" s="244" t="n"/>
      <c r="BM12" s="244" t="n"/>
      <c r="BN12" s="244" t="n"/>
      <c r="BO12" s="244" t="n"/>
      <c r="BP12" s="244" t="n"/>
      <c r="BQ12" s="666">
        <f>IF($B12="","",COUNTIF(AL12:BP12,"✓"))</f>
        <v/>
      </c>
      <c r="BR12" s="667">
        <f>IF($B12="","",COUNTIF(AL12:BP12,"✗"))</f>
        <v/>
      </c>
      <c r="BS12" s="668">
        <f>IF($B12="","",IFERROR(ROUND(COUNTIF(AL12:BP12,"✓")/(COUNTIF(AL12:BP12,"✓")+COUNTIF(AL12:BP12,"✗"))*100,0),""))</f>
        <v/>
      </c>
      <c r="BT12" s="665" t="n"/>
      <c r="BU12" s="244" t="n"/>
      <c r="BV12" s="244" t="n"/>
      <c r="BW12" s="244" t="n"/>
      <c r="BX12" s="244" t="n"/>
      <c r="BY12" s="244" t="n"/>
      <c r="BZ12" s="244" t="n"/>
      <c r="CA12" s="244" t="n"/>
      <c r="CB12" s="244" t="n"/>
      <c r="CC12" s="244" t="n"/>
      <c r="CD12" s="244" t="n"/>
      <c r="CE12" s="244" t="n"/>
      <c r="CF12" s="244" t="n"/>
      <c r="CG12" s="244" t="n"/>
      <c r="CH12" s="244" t="n"/>
      <c r="CI12" s="244" t="n"/>
      <c r="CJ12" s="244" t="n"/>
      <c r="CK12" s="244" t="n"/>
      <c r="CL12" s="244" t="n"/>
      <c r="CM12" s="244" t="n"/>
      <c r="CN12" s="244" t="n"/>
      <c r="CO12" s="244" t="n"/>
      <c r="CP12" s="244" t="n"/>
      <c r="CQ12" s="244" t="n"/>
      <c r="CR12" s="244" t="n"/>
      <c r="CS12" s="244" t="n"/>
      <c r="CT12" s="244" t="n"/>
      <c r="CU12" s="244" t="n"/>
      <c r="CV12" s="244" t="n"/>
      <c r="CW12" s="244" t="n"/>
      <c r="CX12" s="244" t="n"/>
      <c r="CY12" s="666">
        <f>IF($B12="","",COUNTIF(BT12:CX12,"✓"))</f>
        <v/>
      </c>
      <c r="CZ12" s="667">
        <f>IF($B12="","",COUNTIF(BT12:CX12,"✗"))</f>
        <v/>
      </c>
      <c r="DA12" s="668">
        <f>IF($B12="","",IFERROR(ROUND(COUNTIF(BT12:CX12,"✓")/(COUNTIF(BT12:CX12,"✓")+COUNTIF(BT12:CX12,"✗"))*100,0),""))</f>
        <v/>
      </c>
      <c r="DB12" s="665" t="n"/>
      <c r="DC12" s="244" t="n"/>
      <c r="DD12" s="244" t="n"/>
      <c r="DE12" s="244" t="n"/>
      <c r="DF12" s="244" t="n"/>
      <c r="DG12" s="244" t="n"/>
      <c r="DH12" s="244" t="n"/>
      <c r="DI12" s="244" t="n"/>
      <c r="DJ12" s="244" t="n"/>
      <c r="DK12" s="244" t="n"/>
      <c r="DL12" s="244" t="n"/>
      <c r="DM12" s="244" t="n"/>
      <c r="DN12" s="244" t="n"/>
      <c r="DO12" s="244" t="n"/>
      <c r="DP12" s="244" t="n"/>
      <c r="DQ12" s="244" t="n"/>
      <c r="DR12" s="244" t="n"/>
      <c r="DS12" s="244" t="n"/>
      <c r="DT12" s="244" t="n"/>
      <c r="DU12" s="244" t="n"/>
      <c r="DV12" s="244" t="n"/>
      <c r="DW12" s="244" t="n"/>
      <c r="DX12" s="244" t="n"/>
      <c r="DY12" s="244" t="n"/>
      <c r="DZ12" s="244" t="n"/>
      <c r="EA12" s="244" t="n"/>
      <c r="EB12" s="244" t="n"/>
      <c r="EC12" s="244" t="n"/>
      <c r="ED12" s="244" t="n"/>
      <c r="EE12" s="244" t="n"/>
      <c r="EF12" s="244" t="n"/>
      <c r="EG12" s="666">
        <f>IF($B12="","",COUNTIF(DB12:EF12,"✓"))</f>
        <v/>
      </c>
      <c r="EH12" s="667">
        <f>IF($B12="","",COUNTIF(DB12:EF12,"✗"))</f>
        <v/>
      </c>
      <c r="EI12" s="668">
        <f>IF($B12="","",IFERROR(ROUND(COUNTIF(DB12:EF12,"✓")/(COUNTIF(DB12:EF12,"✓")+COUNTIF(DB12:EF12,"✗"))*100,0),""))</f>
        <v/>
      </c>
      <c r="EJ12" s="665" t="n"/>
      <c r="EK12" s="244" t="n"/>
      <c r="EL12" s="244" t="n"/>
      <c r="EM12" s="244" t="n"/>
      <c r="EN12" s="244" t="n"/>
      <c r="EO12" s="244" t="n"/>
      <c r="EP12" s="244" t="n"/>
      <c r="EQ12" s="244" t="n"/>
      <c r="ER12" s="244" t="n"/>
      <c r="ES12" s="244" t="n"/>
      <c r="ET12" s="244" t="n"/>
      <c r="EU12" s="244" t="n"/>
      <c r="EV12" s="244" t="n"/>
      <c r="EW12" s="244" t="n"/>
      <c r="EX12" s="244" t="n"/>
      <c r="EY12" s="244" t="n"/>
      <c r="EZ12" s="244" t="n"/>
      <c r="FA12" s="244" t="n"/>
      <c r="FB12" s="244" t="n"/>
      <c r="FC12" s="244" t="n"/>
      <c r="FD12" s="244" t="n"/>
      <c r="FE12" s="244" t="n"/>
      <c r="FF12" s="244" t="n"/>
      <c r="FG12" s="244" t="n"/>
      <c r="FH12" s="244" t="n"/>
      <c r="FI12" s="244" t="n"/>
      <c r="FJ12" s="244" t="n"/>
      <c r="FK12" s="244" t="n"/>
      <c r="FL12" s="244" t="n"/>
      <c r="FM12" s="244" t="n"/>
      <c r="FN12" s="244" t="n"/>
      <c r="FO12" s="666">
        <f>IF($B12="","",COUNTIF(EJ12:FN12,"✓"))</f>
        <v/>
      </c>
      <c r="FP12" s="667">
        <f>IF($B12="","",COUNTIF(EJ12:FN12,"✗"))</f>
        <v/>
      </c>
      <c r="FQ12" s="668">
        <f>IF($B12="","",IFERROR(ROUND(COUNTIF(EJ12:FN12,"✓")/(COUNTIF(EJ12:FN12,"✓")+COUNTIF(EJ12:FN12,"✗"))*100,0),""))</f>
        <v/>
      </c>
    </row>
    <row r="13">
      <c r="A13" s="218" t="n">
        <v>5</v>
      </c>
      <c r="B13" s="219">
        <f>'ข้อมูลนักเรียน'!T13</f>
        <v/>
      </c>
      <c r="C13" s="664" t="n"/>
      <c r="D13" s="665" t="n"/>
      <c r="E13" s="244" t="n"/>
      <c r="F13" s="244" t="n"/>
      <c r="G13" s="244" t="n"/>
      <c r="H13" s="244" t="n"/>
      <c r="I13" s="244" t="n"/>
      <c r="J13" s="244" t="n"/>
      <c r="K13" s="244" t="n"/>
      <c r="L13" s="244" t="n"/>
      <c r="M13" s="244" t="n"/>
      <c r="N13" s="244" t="n"/>
      <c r="O13" s="244" t="n"/>
      <c r="P13" s="244" t="n"/>
      <c r="Q13" s="244" t="n"/>
      <c r="R13" s="244" t="n"/>
      <c r="S13" s="244" t="n"/>
      <c r="T13" s="244" t="n"/>
      <c r="U13" s="244" t="n"/>
      <c r="V13" s="244" t="n"/>
      <c r="W13" s="244" t="n"/>
      <c r="X13" s="244" t="n"/>
      <c r="Y13" s="244" t="n"/>
      <c r="Z13" s="244" t="n"/>
      <c r="AA13" s="244" t="n"/>
      <c r="AB13" s="244" t="n"/>
      <c r="AC13" s="244" t="n"/>
      <c r="AD13" s="244" t="n"/>
      <c r="AE13" s="244" t="n"/>
      <c r="AF13" s="244" t="n"/>
      <c r="AG13" s="244" t="n"/>
      <c r="AH13" s="244" t="n"/>
      <c r="AI13" s="666">
        <f>IF($B13="","",COUNTIF(D13:AH13,"✓"))</f>
        <v/>
      </c>
      <c r="AJ13" s="667">
        <f>IF($B13="","",COUNTIF(D13:AH13,"✗"))</f>
        <v/>
      </c>
      <c r="AK13" s="668">
        <f>IF($B13="","",IFERROR(ROUND(COUNTIF(D13:AH13,"✓")/(COUNTIF(D13:AH13,"✓")+COUNTIF(D13:AH13,"✗"))*100,0),""))</f>
        <v/>
      </c>
      <c r="AL13" s="665" t="n"/>
      <c r="AM13" s="244" t="n"/>
      <c r="AN13" s="244" t="n"/>
      <c r="AO13" s="244" t="n"/>
      <c r="AP13" s="244" t="n"/>
      <c r="AQ13" s="244" t="n"/>
      <c r="AR13" s="244" t="n"/>
      <c r="AS13" s="244" t="n"/>
      <c r="AT13" s="244" t="n"/>
      <c r="AU13" s="244" t="n"/>
      <c r="AV13" s="244" t="n"/>
      <c r="AW13" s="244" t="n"/>
      <c r="AX13" s="244" t="n"/>
      <c r="AY13" s="244" t="n"/>
      <c r="AZ13" s="244" t="n"/>
      <c r="BA13" s="244" t="n"/>
      <c r="BB13" s="244" t="n"/>
      <c r="BC13" s="244" t="n"/>
      <c r="BD13" s="244" t="n"/>
      <c r="BE13" s="244" t="n"/>
      <c r="BF13" s="244" t="n"/>
      <c r="BG13" s="244" t="n"/>
      <c r="BH13" s="244" t="n"/>
      <c r="BI13" s="244" t="n"/>
      <c r="BJ13" s="244" t="n"/>
      <c r="BK13" s="244" t="n"/>
      <c r="BL13" s="244" t="n"/>
      <c r="BM13" s="244" t="n"/>
      <c r="BN13" s="244" t="n"/>
      <c r="BO13" s="244" t="n"/>
      <c r="BP13" s="244" t="n"/>
      <c r="BQ13" s="666">
        <f>IF($B13="","",COUNTIF(AL13:BP13,"✓"))</f>
        <v/>
      </c>
      <c r="BR13" s="667">
        <f>IF($B13="","",COUNTIF(AL13:BP13,"✗"))</f>
        <v/>
      </c>
      <c r="BS13" s="668">
        <f>IF($B13="","",IFERROR(ROUND(COUNTIF(AL13:BP13,"✓")/(COUNTIF(AL13:BP13,"✓")+COUNTIF(AL13:BP13,"✗"))*100,0),""))</f>
        <v/>
      </c>
      <c r="BT13" s="665" t="n"/>
      <c r="BU13" s="244" t="n"/>
      <c r="BV13" s="244" t="n"/>
      <c r="BW13" s="244" t="n"/>
      <c r="BX13" s="244" t="n"/>
      <c r="BY13" s="244" t="n"/>
      <c r="BZ13" s="244" t="n"/>
      <c r="CA13" s="244" t="n"/>
      <c r="CB13" s="244" t="n"/>
      <c r="CC13" s="244" t="n"/>
      <c r="CD13" s="244" t="n"/>
      <c r="CE13" s="244" t="n"/>
      <c r="CF13" s="244" t="n"/>
      <c r="CG13" s="244" t="n"/>
      <c r="CH13" s="244" t="n"/>
      <c r="CI13" s="244" t="n"/>
      <c r="CJ13" s="244" t="n"/>
      <c r="CK13" s="244" t="n"/>
      <c r="CL13" s="244" t="n"/>
      <c r="CM13" s="244" t="n"/>
      <c r="CN13" s="244" t="n"/>
      <c r="CO13" s="244" t="n"/>
      <c r="CP13" s="244" t="n"/>
      <c r="CQ13" s="244" t="n"/>
      <c r="CR13" s="244" t="n"/>
      <c r="CS13" s="244" t="n"/>
      <c r="CT13" s="244" t="n"/>
      <c r="CU13" s="244" t="n"/>
      <c r="CV13" s="244" t="n"/>
      <c r="CW13" s="244" t="n"/>
      <c r="CX13" s="244" t="n"/>
      <c r="CY13" s="666">
        <f>IF($B13="","",COUNTIF(BT13:CX13,"✓"))</f>
        <v/>
      </c>
      <c r="CZ13" s="667">
        <f>IF($B13="","",COUNTIF(BT13:CX13,"✗"))</f>
        <v/>
      </c>
      <c r="DA13" s="668">
        <f>IF($B13="","",IFERROR(ROUND(COUNTIF(BT13:CX13,"✓")/(COUNTIF(BT13:CX13,"✓")+COUNTIF(BT13:CX13,"✗"))*100,0),""))</f>
        <v/>
      </c>
      <c r="DB13" s="665" t="n"/>
      <c r="DC13" s="244" t="n"/>
      <c r="DD13" s="244" t="n"/>
      <c r="DE13" s="244" t="n"/>
      <c r="DF13" s="244" t="n"/>
      <c r="DG13" s="244" t="n"/>
      <c r="DH13" s="244" t="n"/>
      <c r="DI13" s="244" t="n"/>
      <c r="DJ13" s="244" t="n"/>
      <c r="DK13" s="244" t="n"/>
      <c r="DL13" s="244" t="n"/>
      <c r="DM13" s="244" t="n"/>
      <c r="DN13" s="244" t="n"/>
      <c r="DO13" s="244" t="n"/>
      <c r="DP13" s="244" t="n"/>
      <c r="DQ13" s="244" t="n"/>
      <c r="DR13" s="244" t="n"/>
      <c r="DS13" s="244" t="n"/>
      <c r="DT13" s="244" t="n"/>
      <c r="DU13" s="244" t="n"/>
      <c r="DV13" s="244" t="n"/>
      <c r="DW13" s="244" t="n"/>
      <c r="DX13" s="244" t="n"/>
      <c r="DY13" s="244" t="n"/>
      <c r="DZ13" s="244" t="n"/>
      <c r="EA13" s="244" t="n"/>
      <c r="EB13" s="244" t="n"/>
      <c r="EC13" s="244" t="n"/>
      <c r="ED13" s="244" t="n"/>
      <c r="EE13" s="244" t="n"/>
      <c r="EF13" s="244" t="n"/>
      <c r="EG13" s="666">
        <f>IF($B13="","",COUNTIF(DB13:EF13,"✓"))</f>
        <v/>
      </c>
      <c r="EH13" s="667">
        <f>IF($B13="","",COUNTIF(DB13:EF13,"✗"))</f>
        <v/>
      </c>
      <c r="EI13" s="668">
        <f>IF($B13="","",IFERROR(ROUND(COUNTIF(DB13:EF13,"✓")/(COUNTIF(DB13:EF13,"✓")+COUNTIF(DB13:EF13,"✗"))*100,0),""))</f>
        <v/>
      </c>
      <c r="EJ13" s="665" t="n"/>
      <c r="EK13" s="244" t="n"/>
      <c r="EL13" s="244" t="n"/>
      <c r="EM13" s="244" t="n"/>
      <c r="EN13" s="244" t="n"/>
      <c r="EO13" s="244" t="n"/>
      <c r="EP13" s="244" t="n"/>
      <c r="EQ13" s="244" t="n"/>
      <c r="ER13" s="244" t="n"/>
      <c r="ES13" s="244" t="n"/>
      <c r="ET13" s="244" t="n"/>
      <c r="EU13" s="244" t="n"/>
      <c r="EV13" s="244" t="n"/>
      <c r="EW13" s="244" t="n"/>
      <c r="EX13" s="244" t="n"/>
      <c r="EY13" s="244" t="n"/>
      <c r="EZ13" s="244" t="n"/>
      <c r="FA13" s="244" t="n"/>
      <c r="FB13" s="244" t="n"/>
      <c r="FC13" s="244" t="n"/>
      <c r="FD13" s="244" t="n"/>
      <c r="FE13" s="244" t="n"/>
      <c r="FF13" s="244" t="n"/>
      <c r="FG13" s="244" t="n"/>
      <c r="FH13" s="244" t="n"/>
      <c r="FI13" s="244" t="n"/>
      <c r="FJ13" s="244" t="n"/>
      <c r="FK13" s="244" t="n"/>
      <c r="FL13" s="244" t="n"/>
      <c r="FM13" s="244" t="n"/>
      <c r="FN13" s="244" t="n"/>
      <c r="FO13" s="666">
        <f>IF($B13="","",COUNTIF(EJ13:FN13,"✓"))</f>
        <v/>
      </c>
      <c r="FP13" s="667">
        <f>IF($B13="","",COUNTIF(EJ13:FN13,"✗"))</f>
        <v/>
      </c>
      <c r="FQ13" s="668">
        <f>IF($B13="","",IFERROR(ROUND(COUNTIF(EJ13:FN13,"✓")/(COUNTIF(EJ13:FN13,"✓")+COUNTIF(EJ13:FN13,"✗"))*100,0),""))</f>
        <v/>
      </c>
    </row>
    <row r="14">
      <c r="A14" s="669" t="inlineStr">
        <is>
          <t>ปฏิบัติ (คน)</t>
        </is>
      </c>
      <c r="B14" s="184" t="n"/>
      <c r="C14" s="184" t="n"/>
      <c r="D14" s="670">
        <f>IF(D$4&lt;&gt;1,"",COUNTIF(D9:D13,"✓"))</f>
        <v/>
      </c>
      <c r="E14" s="671">
        <f>IF(E$4&lt;&gt;1,"",COUNTIF(E9:E13,"✓"))</f>
        <v/>
      </c>
      <c r="F14" s="671">
        <f>IF(F$4&lt;&gt;1,"",COUNTIF(F9:F13,"✓"))</f>
        <v/>
      </c>
      <c r="G14" s="671">
        <f>IF(G$4&lt;&gt;1,"",COUNTIF(G9:G13,"✓"))</f>
        <v/>
      </c>
      <c r="H14" s="671">
        <f>IF(H$4&lt;&gt;1,"",COUNTIF(H9:H13,"✓"))</f>
        <v/>
      </c>
      <c r="I14" s="671">
        <f>IF(I$4&lt;&gt;1,"",COUNTIF(I9:I13,"✓"))</f>
        <v/>
      </c>
      <c r="J14" s="671">
        <f>IF(J$4&lt;&gt;1,"",COUNTIF(J9:J13,"✓"))</f>
        <v/>
      </c>
      <c r="K14" s="671">
        <f>IF(K$4&lt;&gt;1,"",COUNTIF(K9:K13,"✓"))</f>
        <v/>
      </c>
      <c r="L14" s="671">
        <f>IF(L$4&lt;&gt;1,"",COUNTIF(L9:L13,"✓"))</f>
        <v/>
      </c>
      <c r="M14" s="671">
        <f>IF(M$4&lt;&gt;1,"",COUNTIF(M9:M13,"✓"))</f>
        <v/>
      </c>
      <c r="N14" s="671">
        <f>IF(N$4&lt;&gt;1,"",COUNTIF(N9:N13,"✓"))</f>
        <v/>
      </c>
      <c r="O14" s="671">
        <f>IF(O$4&lt;&gt;1,"",COUNTIF(O9:O13,"✓"))</f>
        <v/>
      </c>
      <c r="P14" s="671">
        <f>IF(P$4&lt;&gt;1,"",COUNTIF(P9:P13,"✓"))</f>
        <v/>
      </c>
      <c r="Q14" s="671">
        <f>IF(Q$4&lt;&gt;1,"",COUNTIF(Q9:Q13,"✓"))</f>
        <v/>
      </c>
      <c r="R14" s="671">
        <f>IF(R$4&lt;&gt;1,"",COUNTIF(R9:R13,"✓"))</f>
        <v/>
      </c>
      <c r="S14" s="671">
        <f>IF(S$4&lt;&gt;1,"",COUNTIF(S9:S13,"✓"))</f>
        <v/>
      </c>
      <c r="T14" s="671">
        <f>IF(T$4&lt;&gt;1,"",COUNTIF(T9:T13,"✓"))</f>
        <v/>
      </c>
      <c r="U14" s="671">
        <f>IF(U$4&lt;&gt;1,"",COUNTIF(U9:U13,"✓"))</f>
        <v/>
      </c>
      <c r="V14" s="671">
        <f>IF(V$4&lt;&gt;1,"",COUNTIF(V9:V13,"✓"))</f>
        <v/>
      </c>
      <c r="W14" s="671">
        <f>IF(W$4&lt;&gt;1,"",COUNTIF(W9:W13,"✓"))</f>
        <v/>
      </c>
      <c r="X14" s="671">
        <f>IF(X$4&lt;&gt;1,"",COUNTIF(X9:X13,"✓"))</f>
        <v/>
      </c>
      <c r="Y14" s="671">
        <f>IF(Y$4&lt;&gt;1,"",COUNTIF(Y9:Y13,"✓"))</f>
        <v/>
      </c>
      <c r="Z14" s="671">
        <f>IF(Z$4&lt;&gt;1,"",COUNTIF(Z9:Z13,"✓"))</f>
        <v/>
      </c>
      <c r="AA14" s="671">
        <f>IF(AA$4&lt;&gt;1,"",COUNTIF(AA9:AA13,"✓"))</f>
        <v/>
      </c>
      <c r="AB14" s="671">
        <f>IF(AB$4&lt;&gt;1,"",COUNTIF(AB9:AB13,"✓"))</f>
        <v/>
      </c>
      <c r="AC14" s="671">
        <f>IF(AC$4&lt;&gt;1,"",COUNTIF(AC9:AC13,"✓"))</f>
        <v/>
      </c>
      <c r="AD14" s="671">
        <f>IF(AD$4&lt;&gt;1,"",COUNTIF(AD9:AD13,"✓"))</f>
        <v/>
      </c>
      <c r="AE14" s="671">
        <f>IF(AE$4&lt;&gt;1,"",COUNTIF(AE9:AE13,"✓"))</f>
        <v/>
      </c>
      <c r="AF14" s="671">
        <f>IF(AF$4&lt;&gt;1,"",COUNTIF(AF9:AF13,"✓"))</f>
        <v/>
      </c>
      <c r="AG14" s="671">
        <f>IF(AG$4&lt;&gt;1,"",COUNTIF(AG9:AG13,"✓"))</f>
        <v/>
      </c>
      <c r="AH14" s="671">
        <f>IF(AH$4&lt;&gt;1,"",COUNTIF(AH9:AH13,"✓"))</f>
        <v/>
      </c>
      <c r="AI14" s="672">
        <f>SUM(AI9:AI13)</f>
        <v/>
      </c>
      <c r="AJ14" s="673">
        <f>SUM(AJ9:AJ13)</f>
        <v/>
      </c>
      <c r="AK14" s="674">
        <f>IFERROR(AVERAGE(AK9:AK13),"")</f>
        <v/>
      </c>
      <c r="AL14" s="670">
        <f>IF(AL$4&lt;&gt;1,"",COUNTIF(AL9:AL13,"✓"))</f>
        <v/>
      </c>
      <c r="AM14" s="671">
        <f>IF(AM$4&lt;&gt;1,"",COUNTIF(AM9:AM13,"✓"))</f>
        <v/>
      </c>
      <c r="AN14" s="671">
        <f>IF(AN$4&lt;&gt;1,"",COUNTIF(AN9:AN13,"✓"))</f>
        <v/>
      </c>
      <c r="AO14" s="671">
        <f>IF(AO$4&lt;&gt;1,"",COUNTIF(AO9:AO13,"✓"))</f>
        <v/>
      </c>
      <c r="AP14" s="671">
        <f>IF(AP$4&lt;&gt;1,"",COUNTIF(AP9:AP13,"✓"))</f>
        <v/>
      </c>
      <c r="AQ14" s="671">
        <f>IF(AQ$4&lt;&gt;1,"",COUNTIF(AQ9:AQ13,"✓"))</f>
        <v/>
      </c>
      <c r="AR14" s="671">
        <f>IF(AR$4&lt;&gt;1,"",COUNTIF(AR9:AR13,"✓"))</f>
        <v/>
      </c>
      <c r="AS14" s="671">
        <f>IF(AS$4&lt;&gt;1,"",COUNTIF(AS9:AS13,"✓"))</f>
        <v/>
      </c>
      <c r="AT14" s="671">
        <f>IF(AT$4&lt;&gt;1,"",COUNTIF(AT9:AT13,"✓"))</f>
        <v/>
      </c>
      <c r="AU14" s="671">
        <f>IF(AU$4&lt;&gt;1,"",COUNTIF(AU9:AU13,"✓"))</f>
        <v/>
      </c>
      <c r="AV14" s="671">
        <f>IF(AV$4&lt;&gt;1,"",COUNTIF(AV9:AV13,"✓"))</f>
        <v/>
      </c>
      <c r="AW14" s="671">
        <f>IF(AW$4&lt;&gt;1,"",COUNTIF(AW9:AW13,"✓"))</f>
        <v/>
      </c>
      <c r="AX14" s="671">
        <f>IF(AX$4&lt;&gt;1,"",COUNTIF(AX9:AX13,"✓"))</f>
        <v/>
      </c>
      <c r="AY14" s="671">
        <f>IF(AY$4&lt;&gt;1,"",COUNTIF(AY9:AY13,"✓"))</f>
        <v/>
      </c>
      <c r="AZ14" s="671">
        <f>IF(AZ$4&lt;&gt;1,"",COUNTIF(AZ9:AZ13,"✓"))</f>
        <v/>
      </c>
      <c r="BA14" s="671">
        <f>IF(BA$4&lt;&gt;1,"",COUNTIF(BA9:BA13,"✓"))</f>
        <v/>
      </c>
      <c r="BB14" s="671">
        <f>IF(BB$4&lt;&gt;1,"",COUNTIF(BB9:BB13,"✓"))</f>
        <v/>
      </c>
      <c r="BC14" s="671">
        <f>IF(BC$4&lt;&gt;1,"",COUNTIF(BC9:BC13,"✓"))</f>
        <v/>
      </c>
      <c r="BD14" s="671">
        <f>IF(BD$4&lt;&gt;1,"",COUNTIF(BD9:BD13,"✓"))</f>
        <v/>
      </c>
      <c r="BE14" s="671">
        <f>IF(BE$4&lt;&gt;1,"",COUNTIF(BE9:BE13,"✓"))</f>
        <v/>
      </c>
      <c r="BF14" s="671">
        <f>IF(BF$4&lt;&gt;1,"",COUNTIF(BF9:BF13,"✓"))</f>
        <v/>
      </c>
      <c r="BG14" s="671">
        <f>IF(BG$4&lt;&gt;1,"",COUNTIF(BG9:BG13,"✓"))</f>
        <v/>
      </c>
      <c r="BH14" s="671">
        <f>IF(BH$4&lt;&gt;1,"",COUNTIF(BH9:BH13,"✓"))</f>
        <v/>
      </c>
      <c r="BI14" s="671">
        <f>IF(BI$4&lt;&gt;1,"",COUNTIF(BI9:BI13,"✓"))</f>
        <v/>
      </c>
      <c r="BJ14" s="671">
        <f>IF(BJ$4&lt;&gt;1,"",COUNTIF(BJ9:BJ13,"✓"))</f>
        <v/>
      </c>
      <c r="BK14" s="671">
        <f>IF(BK$4&lt;&gt;1,"",COUNTIF(BK9:BK13,"✓"))</f>
        <v/>
      </c>
      <c r="BL14" s="671">
        <f>IF(BL$4&lt;&gt;1,"",COUNTIF(BL9:BL13,"✓"))</f>
        <v/>
      </c>
      <c r="BM14" s="671">
        <f>IF(BM$4&lt;&gt;1,"",COUNTIF(BM9:BM13,"✓"))</f>
        <v/>
      </c>
      <c r="BN14" s="671">
        <f>IF(BN$4&lt;&gt;1,"",COUNTIF(BN9:BN13,"✓"))</f>
        <v/>
      </c>
      <c r="BO14" s="671">
        <f>IF(BO$4&lt;&gt;1,"",COUNTIF(BO9:BO13,"✓"))</f>
        <v/>
      </c>
      <c r="BP14" s="671">
        <f>IF(BP$4&lt;&gt;1,"",COUNTIF(BP9:BP13,"✓"))</f>
        <v/>
      </c>
      <c r="BQ14" s="672">
        <f>SUM(BQ9:BQ13)</f>
        <v/>
      </c>
      <c r="BR14" s="673">
        <f>SUM(BR9:BR13)</f>
        <v/>
      </c>
      <c r="BS14" s="674">
        <f>IFERROR(AVERAGE(BS9:BS13),"")</f>
        <v/>
      </c>
      <c r="BT14" s="670">
        <f>IF(BT$4&lt;&gt;1,"",COUNTIF(BT9:BT13,"✓"))</f>
        <v/>
      </c>
      <c r="BU14" s="671">
        <f>IF(BU$4&lt;&gt;1,"",COUNTIF(BU9:BU13,"✓"))</f>
        <v/>
      </c>
      <c r="BV14" s="671">
        <f>IF(BV$4&lt;&gt;1,"",COUNTIF(BV9:BV13,"✓"))</f>
        <v/>
      </c>
      <c r="BW14" s="671">
        <f>IF(BW$4&lt;&gt;1,"",COUNTIF(BW9:BW13,"✓"))</f>
        <v/>
      </c>
      <c r="BX14" s="671">
        <f>IF(BX$4&lt;&gt;1,"",COUNTIF(BX9:BX13,"✓"))</f>
        <v/>
      </c>
      <c r="BY14" s="671">
        <f>IF(BY$4&lt;&gt;1,"",COUNTIF(BY9:BY13,"✓"))</f>
        <v/>
      </c>
      <c r="BZ14" s="671">
        <f>IF(BZ$4&lt;&gt;1,"",COUNTIF(BZ9:BZ13,"✓"))</f>
        <v/>
      </c>
      <c r="CA14" s="671">
        <f>IF(CA$4&lt;&gt;1,"",COUNTIF(CA9:CA13,"✓"))</f>
        <v/>
      </c>
      <c r="CB14" s="671">
        <f>IF(CB$4&lt;&gt;1,"",COUNTIF(CB9:CB13,"✓"))</f>
        <v/>
      </c>
      <c r="CC14" s="671">
        <f>IF(CC$4&lt;&gt;1,"",COUNTIF(CC9:CC13,"✓"))</f>
        <v/>
      </c>
      <c r="CD14" s="671">
        <f>IF(CD$4&lt;&gt;1,"",COUNTIF(CD9:CD13,"✓"))</f>
        <v/>
      </c>
      <c r="CE14" s="671">
        <f>IF(CE$4&lt;&gt;1,"",COUNTIF(CE9:CE13,"✓"))</f>
        <v/>
      </c>
      <c r="CF14" s="671">
        <f>IF(CF$4&lt;&gt;1,"",COUNTIF(CF9:CF13,"✓"))</f>
        <v/>
      </c>
      <c r="CG14" s="671">
        <f>IF(CG$4&lt;&gt;1,"",COUNTIF(CG9:CG13,"✓"))</f>
        <v/>
      </c>
      <c r="CH14" s="671">
        <f>IF(CH$4&lt;&gt;1,"",COUNTIF(CH9:CH13,"✓"))</f>
        <v/>
      </c>
      <c r="CI14" s="671">
        <f>IF(CI$4&lt;&gt;1,"",COUNTIF(CI9:CI13,"✓"))</f>
        <v/>
      </c>
      <c r="CJ14" s="671">
        <f>IF(CJ$4&lt;&gt;1,"",COUNTIF(CJ9:CJ13,"✓"))</f>
        <v/>
      </c>
      <c r="CK14" s="671">
        <f>IF(CK$4&lt;&gt;1,"",COUNTIF(CK9:CK13,"✓"))</f>
        <v/>
      </c>
      <c r="CL14" s="671">
        <f>IF(CL$4&lt;&gt;1,"",COUNTIF(CL9:CL13,"✓"))</f>
        <v/>
      </c>
      <c r="CM14" s="671">
        <f>IF(CM$4&lt;&gt;1,"",COUNTIF(CM9:CM13,"✓"))</f>
        <v/>
      </c>
      <c r="CN14" s="671">
        <f>IF(CN$4&lt;&gt;1,"",COUNTIF(CN9:CN13,"✓"))</f>
        <v/>
      </c>
      <c r="CO14" s="671">
        <f>IF(CO$4&lt;&gt;1,"",COUNTIF(CO9:CO13,"✓"))</f>
        <v/>
      </c>
      <c r="CP14" s="671">
        <f>IF(CP$4&lt;&gt;1,"",COUNTIF(CP9:CP13,"✓"))</f>
        <v/>
      </c>
      <c r="CQ14" s="671">
        <f>IF(CQ$4&lt;&gt;1,"",COUNTIF(CQ9:CQ13,"✓"))</f>
        <v/>
      </c>
      <c r="CR14" s="671">
        <f>IF(CR$4&lt;&gt;1,"",COUNTIF(CR9:CR13,"✓"))</f>
        <v/>
      </c>
      <c r="CS14" s="671">
        <f>IF(CS$4&lt;&gt;1,"",COUNTIF(CS9:CS13,"✓"))</f>
        <v/>
      </c>
      <c r="CT14" s="671">
        <f>IF(CT$4&lt;&gt;1,"",COUNTIF(CT9:CT13,"✓"))</f>
        <v/>
      </c>
      <c r="CU14" s="671">
        <f>IF(CU$4&lt;&gt;1,"",COUNTIF(CU9:CU13,"✓"))</f>
        <v/>
      </c>
      <c r="CV14" s="671">
        <f>IF(CV$4&lt;&gt;1,"",COUNTIF(CV9:CV13,"✓"))</f>
        <v/>
      </c>
      <c r="CW14" s="671">
        <f>IF(CW$4&lt;&gt;1,"",COUNTIF(CW9:CW13,"✓"))</f>
        <v/>
      </c>
      <c r="CX14" s="671">
        <f>IF(CX$4&lt;&gt;1,"",COUNTIF(CX9:CX13,"✓"))</f>
        <v/>
      </c>
      <c r="CY14" s="672">
        <f>SUM(CY9:CY13)</f>
        <v/>
      </c>
      <c r="CZ14" s="673">
        <f>SUM(CZ9:CZ13)</f>
        <v/>
      </c>
      <c r="DA14" s="674">
        <f>IFERROR(AVERAGE(DA9:DA13),"")</f>
        <v/>
      </c>
      <c r="DB14" s="670">
        <f>IF(DB$4&lt;&gt;1,"",COUNTIF(DB9:DB13,"✓"))</f>
        <v/>
      </c>
      <c r="DC14" s="671">
        <f>IF(DC$4&lt;&gt;1,"",COUNTIF(DC9:DC13,"✓"))</f>
        <v/>
      </c>
      <c r="DD14" s="671">
        <f>IF(DD$4&lt;&gt;1,"",COUNTIF(DD9:DD13,"✓"))</f>
        <v/>
      </c>
      <c r="DE14" s="671">
        <f>IF(DE$4&lt;&gt;1,"",COUNTIF(DE9:DE13,"✓"))</f>
        <v/>
      </c>
      <c r="DF14" s="671">
        <f>IF(DF$4&lt;&gt;1,"",COUNTIF(DF9:DF13,"✓"))</f>
        <v/>
      </c>
      <c r="DG14" s="671">
        <f>IF(DG$4&lt;&gt;1,"",COUNTIF(DG9:DG13,"✓"))</f>
        <v/>
      </c>
      <c r="DH14" s="671">
        <f>IF(DH$4&lt;&gt;1,"",COUNTIF(DH9:DH13,"✓"))</f>
        <v/>
      </c>
      <c r="DI14" s="671">
        <f>IF(DI$4&lt;&gt;1,"",COUNTIF(DI9:DI13,"✓"))</f>
        <v/>
      </c>
      <c r="DJ14" s="671">
        <f>IF(DJ$4&lt;&gt;1,"",COUNTIF(DJ9:DJ13,"✓"))</f>
        <v/>
      </c>
      <c r="DK14" s="671">
        <f>IF(DK$4&lt;&gt;1,"",COUNTIF(DK9:DK13,"✓"))</f>
        <v/>
      </c>
      <c r="DL14" s="671">
        <f>IF(DL$4&lt;&gt;1,"",COUNTIF(DL9:DL13,"✓"))</f>
        <v/>
      </c>
      <c r="DM14" s="671">
        <f>IF(DM$4&lt;&gt;1,"",COUNTIF(DM9:DM13,"✓"))</f>
        <v/>
      </c>
      <c r="DN14" s="671">
        <f>IF(DN$4&lt;&gt;1,"",COUNTIF(DN9:DN13,"✓"))</f>
        <v/>
      </c>
      <c r="DO14" s="671">
        <f>IF(DO$4&lt;&gt;1,"",COUNTIF(DO9:DO13,"✓"))</f>
        <v/>
      </c>
      <c r="DP14" s="671">
        <f>IF(DP$4&lt;&gt;1,"",COUNTIF(DP9:DP13,"✓"))</f>
        <v/>
      </c>
      <c r="DQ14" s="671">
        <f>IF(DQ$4&lt;&gt;1,"",COUNTIF(DQ9:DQ13,"✓"))</f>
        <v/>
      </c>
      <c r="DR14" s="671">
        <f>IF(DR$4&lt;&gt;1,"",COUNTIF(DR9:DR13,"✓"))</f>
        <v/>
      </c>
      <c r="DS14" s="671">
        <f>IF(DS$4&lt;&gt;1,"",COUNTIF(DS9:DS13,"✓"))</f>
        <v/>
      </c>
      <c r="DT14" s="671">
        <f>IF(DT$4&lt;&gt;1,"",COUNTIF(DT9:DT13,"✓"))</f>
        <v/>
      </c>
      <c r="DU14" s="671">
        <f>IF(DU$4&lt;&gt;1,"",COUNTIF(DU9:DU13,"✓"))</f>
        <v/>
      </c>
      <c r="DV14" s="671">
        <f>IF(DV$4&lt;&gt;1,"",COUNTIF(DV9:DV13,"✓"))</f>
        <v/>
      </c>
      <c r="DW14" s="671">
        <f>IF(DW$4&lt;&gt;1,"",COUNTIF(DW9:DW13,"✓"))</f>
        <v/>
      </c>
      <c r="DX14" s="671">
        <f>IF(DX$4&lt;&gt;1,"",COUNTIF(DX9:DX13,"✓"))</f>
        <v/>
      </c>
      <c r="DY14" s="671">
        <f>IF(DY$4&lt;&gt;1,"",COUNTIF(DY9:DY13,"✓"))</f>
        <v/>
      </c>
      <c r="DZ14" s="671">
        <f>IF(DZ$4&lt;&gt;1,"",COUNTIF(DZ9:DZ13,"✓"))</f>
        <v/>
      </c>
      <c r="EA14" s="671">
        <f>IF(EA$4&lt;&gt;1,"",COUNTIF(EA9:EA13,"✓"))</f>
        <v/>
      </c>
      <c r="EB14" s="671">
        <f>IF(EB$4&lt;&gt;1,"",COUNTIF(EB9:EB13,"✓"))</f>
        <v/>
      </c>
      <c r="EC14" s="671">
        <f>IF(EC$4&lt;&gt;1,"",COUNTIF(EC9:EC13,"✓"))</f>
        <v/>
      </c>
      <c r="ED14" s="671">
        <f>IF(ED$4&lt;&gt;1,"",COUNTIF(ED9:ED13,"✓"))</f>
        <v/>
      </c>
      <c r="EE14" s="671">
        <f>IF(EE$4&lt;&gt;1,"",COUNTIF(EE9:EE13,"✓"))</f>
        <v/>
      </c>
      <c r="EF14" s="671">
        <f>IF(EF$4&lt;&gt;1,"",COUNTIF(EF9:EF13,"✓"))</f>
        <v/>
      </c>
      <c r="EG14" s="672">
        <f>SUM(EG9:EG13)</f>
        <v/>
      </c>
      <c r="EH14" s="673">
        <f>SUM(EH9:EH13)</f>
        <v/>
      </c>
      <c r="EI14" s="674">
        <f>IFERROR(AVERAGE(EI9:EI13),"")</f>
        <v/>
      </c>
      <c r="EJ14" s="670">
        <f>IF(EJ$4&lt;&gt;1,"",COUNTIF(EJ9:EJ13,"✓"))</f>
        <v/>
      </c>
      <c r="EK14" s="671">
        <f>IF(EK$4&lt;&gt;1,"",COUNTIF(EK9:EK13,"✓"))</f>
        <v/>
      </c>
      <c r="EL14" s="671">
        <f>IF(EL$4&lt;&gt;1,"",COUNTIF(EL9:EL13,"✓"))</f>
        <v/>
      </c>
      <c r="EM14" s="671">
        <f>IF(EM$4&lt;&gt;1,"",COUNTIF(EM9:EM13,"✓"))</f>
        <v/>
      </c>
      <c r="EN14" s="671">
        <f>IF(EN$4&lt;&gt;1,"",COUNTIF(EN9:EN13,"✓"))</f>
        <v/>
      </c>
      <c r="EO14" s="671">
        <f>IF(EO$4&lt;&gt;1,"",COUNTIF(EO9:EO13,"✓"))</f>
        <v/>
      </c>
      <c r="EP14" s="671">
        <f>IF(EP$4&lt;&gt;1,"",COUNTIF(EP9:EP13,"✓"))</f>
        <v/>
      </c>
      <c r="EQ14" s="671">
        <f>IF(EQ$4&lt;&gt;1,"",COUNTIF(EQ9:EQ13,"✓"))</f>
        <v/>
      </c>
      <c r="ER14" s="671">
        <f>IF(ER$4&lt;&gt;1,"",COUNTIF(ER9:ER13,"✓"))</f>
        <v/>
      </c>
      <c r="ES14" s="671">
        <f>IF(ES$4&lt;&gt;1,"",COUNTIF(ES9:ES13,"✓"))</f>
        <v/>
      </c>
      <c r="ET14" s="671">
        <f>IF(ET$4&lt;&gt;1,"",COUNTIF(ET9:ET13,"✓"))</f>
        <v/>
      </c>
      <c r="EU14" s="671">
        <f>IF(EU$4&lt;&gt;1,"",COUNTIF(EU9:EU13,"✓"))</f>
        <v/>
      </c>
      <c r="EV14" s="671">
        <f>IF(EV$4&lt;&gt;1,"",COUNTIF(EV9:EV13,"✓"))</f>
        <v/>
      </c>
      <c r="EW14" s="671">
        <f>IF(EW$4&lt;&gt;1,"",COUNTIF(EW9:EW13,"✓"))</f>
        <v/>
      </c>
      <c r="EX14" s="671">
        <f>IF(EX$4&lt;&gt;1,"",COUNTIF(EX9:EX13,"✓"))</f>
        <v/>
      </c>
      <c r="EY14" s="671">
        <f>IF(EY$4&lt;&gt;1,"",COUNTIF(EY9:EY13,"✓"))</f>
        <v/>
      </c>
      <c r="EZ14" s="671">
        <f>IF(EZ$4&lt;&gt;1,"",COUNTIF(EZ9:EZ13,"✓"))</f>
        <v/>
      </c>
      <c r="FA14" s="671">
        <f>IF(FA$4&lt;&gt;1,"",COUNTIF(FA9:FA13,"✓"))</f>
        <v/>
      </c>
      <c r="FB14" s="671">
        <f>IF(FB$4&lt;&gt;1,"",COUNTIF(FB9:FB13,"✓"))</f>
        <v/>
      </c>
      <c r="FC14" s="671">
        <f>IF(FC$4&lt;&gt;1,"",COUNTIF(FC9:FC13,"✓"))</f>
        <v/>
      </c>
      <c r="FD14" s="671">
        <f>IF(FD$4&lt;&gt;1,"",COUNTIF(FD9:FD13,"✓"))</f>
        <v/>
      </c>
      <c r="FE14" s="671">
        <f>IF(FE$4&lt;&gt;1,"",COUNTIF(FE9:FE13,"✓"))</f>
        <v/>
      </c>
      <c r="FF14" s="671">
        <f>IF(FF$4&lt;&gt;1,"",COUNTIF(FF9:FF13,"✓"))</f>
        <v/>
      </c>
      <c r="FG14" s="671">
        <f>IF(FG$4&lt;&gt;1,"",COUNTIF(FG9:FG13,"✓"))</f>
        <v/>
      </c>
      <c r="FH14" s="671">
        <f>IF(FH$4&lt;&gt;1,"",COUNTIF(FH9:FH13,"✓"))</f>
        <v/>
      </c>
      <c r="FI14" s="671">
        <f>IF(FI$4&lt;&gt;1,"",COUNTIF(FI9:FI13,"✓"))</f>
        <v/>
      </c>
      <c r="FJ14" s="671">
        <f>IF(FJ$4&lt;&gt;1,"",COUNTIF(FJ9:FJ13,"✓"))</f>
        <v/>
      </c>
      <c r="FK14" s="671">
        <f>IF(FK$4&lt;&gt;1,"",COUNTIF(FK9:FK13,"✓"))</f>
        <v/>
      </c>
      <c r="FL14" s="671">
        <f>IF(FL$4&lt;&gt;1,"",COUNTIF(FL9:FL13,"✓"))</f>
        <v/>
      </c>
      <c r="FM14" s="671">
        <f>IF(FM$4&lt;&gt;1,"",COUNTIF(FM9:FM13,"✓"))</f>
        <v/>
      </c>
      <c r="FN14" s="671">
        <f>IF(FN$4&lt;&gt;1,"",COUNTIF(FN9:FN13,"✓"))</f>
        <v/>
      </c>
      <c r="FO14" s="672">
        <f>SUM(FO9:FO13)</f>
        <v/>
      </c>
      <c r="FP14" s="673">
        <f>SUM(FP9:FP13)</f>
        <v/>
      </c>
      <c r="FQ14" s="674">
        <f>IFERROR(AVERAGE(FQ9:FQ13),"")</f>
        <v/>
      </c>
    </row>
    <row r="15">
      <c r="A15" s="669" t="inlineStr">
        <is>
          <t>ไม่ปฏิบัติ (คน)</t>
        </is>
      </c>
      <c r="B15" s="184" t="n"/>
      <c r="C15" s="184" t="n"/>
      <c r="D15" s="670">
        <f>IF(D$4&lt;&gt;1,"",COUNTIF(D9:D13,"✗"))</f>
        <v/>
      </c>
      <c r="E15" s="671">
        <f>IF(E$4&lt;&gt;1,"",COUNTIF(E9:E13,"✗"))</f>
        <v/>
      </c>
      <c r="F15" s="671">
        <f>IF(F$4&lt;&gt;1,"",COUNTIF(F9:F13,"✗"))</f>
        <v/>
      </c>
      <c r="G15" s="671">
        <f>IF(G$4&lt;&gt;1,"",COUNTIF(G9:G13,"✗"))</f>
        <v/>
      </c>
      <c r="H15" s="671">
        <f>IF(H$4&lt;&gt;1,"",COUNTIF(H9:H13,"✗"))</f>
        <v/>
      </c>
      <c r="I15" s="671">
        <f>IF(I$4&lt;&gt;1,"",COUNTIF(I9:I13,"✗"))</f>
        <v/>
      </c>
      <c r="J15" s="671">
        <f>IF(J$4&lt;&gt;1,"",COUNTIF(J9:J13,"✗"))</f>
        <v/>
      </c>
      <c r="K15" s="671">
        <f>IF(K$4&lt;&gt;1,"",COUNTIF(K9:K13,"✗"))</f>
        <v/>
      </c>
      <c r="L15" s="671">
        <f>IF(L$4&lt;&gt;1,"",COUNTIF(L9:L13,"✗"))</f>
        <v/>
      </c>
      <c r="M15" s="671">
        <f>IF(M$4&lt;&gt;1,"",COUNTIF(M9:M13,"✗"))</f>
        <v/>
      </c>
      <c r="N15" s="671">
        <f>IF(N$4&lt;&gt;1,"",COUNTIF(N9:N13,"✗"))</f>
        <v/>
      </c>
      <c r="O15" s="671">
        <f>IF(O$4&lt;&gt;1,"",COUNTIF(O9:O13,"✗"))</f>
        <v/>
      </c>
      <c r="P15" s="671">
        <f>IF(P$4&lt;&gt;1,"",COUNTIF(P9:P13,"✗"))</f>
        <v/>
      </c>
      <c r="Q15" s="671">
        <f>IF(Q$4&lt;&gt;1,"",COUNTIF(Q9:Q13,"✗"))</f>
        <v/>
      </c>
      <c r="R15" s="671">
        <f>IF(R$4&lt;&gt;1,"",COUNTIF(R9:R13,"✗"))</f>
        <v/>
      </c>
      <c r="S15" s="671">
        <f>IF(S$4&lt;&gt;1,"",COUNTIF(S9:S13,"✗"))</f>
        <v/>
      </c>
      <c r="T15" s="671">
        <f>IF(T$4&lt;&gt;1,"",COUNTIF(T9:T13,"✗"))</f>
        <v/>
      </c>
      <c r="U15" s="671">
        <f>IF(U$4&lt;&gt;1,"",COUNTIF(U9:U13,"✗"))</f>
        <v/>
      </c>
      <c r="V15" s="671">
        <f>IF(V$4&lt;&gt;1,"",COUNTIF(V9:V13,"✗"))</f>
        <v/>
      </c>
      <c r="W15" s="671">
        <f>IF(W$4&lt;&gt;1,"",COUNTIF(W9:W13,"✗"))</f>
        <v/>
      </c>
      <c r="X15" s="671">
        <f>IF(X$4&lt;&gt;1,"",COUNTIF(X9:X13,"✗"))</f>
        <v/>
      </c>
      <c r="Y15" s="671">
        <f>IF(Y$4&lt;&gt;1,"",COUNTIF(Y9:Y13,"✗"))</f>
        <v/>
      </c>
      <c r="Z15" s="671">
        <f>IF(Z$4&lt;&gt;1,"",COUNTIF(Z9:Z13,"✗"))</f>
        <v/>
      </c>
      <c r="AA15" s="671">
        <f>IF(AA$4&lt;&gt;1,"",COUNTIF(AA9:AA13,"✗"))</f>
        <v/>
      </c>
      <c r="AB15" s="671">
        <f>IF(AB$4&lt;&gt;1,"",COUNTIF(AB9:AB13,"✗"))</f>
        <v/>
      </c>
      <c r="AC15" s="671">
        <f>IF(AC$4&lt;&gt;1,"",COUNTIF(AC9:AC13,"✗"))</f>
        <v/>
      </c>
      <c r="AD15" s="671">
        <f>IF(AD$4&lt;&gt;1,"",COUNTIF(AD9:AD13,"✗"))</f>
        <v/>
      </c>
      <c r="AE15" s="671">
        <f>IF(AE$4&lt;&gt;1,"",COUNTIF(AE9:AE13,"✗"))</f>
        <v/>
      </c>
      <c r="AF15" s="671">
        <f>IF(AF$4&lt;&gt;1,"",COUNTIF(AF9:AF13,"✗"))</f>
        <v/>
      </c>
      <c r="AG15" s="671">
        <f>IF(AG$4&lt;&gt;1,"",COUNTIF(AG9:AG13,"✗"))</f>
        <v/>
      </c>
      <c r="AH15" s="671">
        <f>IF(AH$4&lt;&gt;1,"",COUNTIF(AH9:AH13,"✗"))</f>
        <v/>
      </c>
      <c r="AI15" s="672" t="n"/>
      <c r="AJ15" s="673" t="n"/>
      <c r="AK15" s="674" t="n"/>
      <c r="AL15" s="670">
        <f>IF(AL$4&lt;&gt;1,"",COUNTIF(AL9:AL13,"✗"))</f>
        <v/>
      </c>
      <c r="AM15" s="671">
        <f>IF(AM$4&lt;&gt;1,"",COUNTIF(AM9:AM13,"✗"))</f>
        <v/>
      </c>
      <c r="AN15" s="671">
        <f>IF(AN$4&lt;&gt;1,"",COUNTIF(AN9:AN13,"✗"))</f>
        <v/>
      </c>
      <c r="AO15" s="671">
        <f>IF(AO$4&lt;&gt;1,"",COUNTIF(AO9:AO13,"✗"))</f>
        <v/>
      </c>
      <c r="AP15" s="671">
        <f>IF(AP$4&lt;&gt;1,"",COUNTIF(AP9:AP13,"✗"))</f>
        <v/>
      </c>
      <c r="AQ15" s="671">
        <f>IF(AQ$4&lt;&gt;1,"",COUNTIF(AQ9:AQ13,"✗"))</f>
        <v/>
      </c>
      <c r="AR15" s="671">
        <f>IF(AR$4&lt;&gt;1,"",COUNTIF(AR9:AR13,"✗"))</f>
        <v/>
      </c>
      <c r="AS15" s="671">
        <f>IF(AS$4&lt;&gt;1,"",COUNTIF(AS9:AS13,"✗"))</f>
        <v/>
      </c>
      <c r="AT15" s="671">
        <f>IF(AT$4&lt;&gt;1,"",COUNTIF(AT9:AT13,"✗"))</f>
        <v/>
      </c>
      <c r="AU15" s="671">
        <f>IF(AU$4&lt;&gt;1,"",COUNTIF(AU9:AU13,"✗"))</f>
        <v/>
      </c>
      <c r="AV15" s="671">
        <f>IF(AV$4&lt;&gt;1,"",COUNTIF(AV9:AV13,"✗"))</f>
        <v/>
      </c>
      <c r="AW15" s="671">
        <f>IF(AW$4&lt;&gt;1,"",COUNTIF(AW9:AW13,"✗"))</f>
        <v/>
      </c>
      <c r="AX15" s="671">
        <f>IF(AX$4&lt;&gt;1,"",COUNTIF(AX9:AX13,"✗"))</f>
        <v/>
      </c>
      <c r="AY15" s="671">
        <f>IF(AY$4&lt;&gt;1,"",COUNTIF(AY9:AY13,"✗"))</f>
        <v/>
      </c>
      <c r="AZ15" s="671">
        <f>IF(AZ$4&lt;&gt;1,"",COUNTIF(AZ9:AZ13,"✗"))</f>
        <v/>
      </c>
      <c r="BA15" s="671">
        <f>IF(BA$4&lt;&gt;1,"",COUNTIF(BA9:BA13,"✗"))</f>
        <v/>
      </c>
      <c r="BB15" s="671">
        <f>IF(BB$4&lt;&gt;1,"",COUNTIF(BB9:BB13,"✗"))</f>
        <v/>
      </c>
      <c r="BC15" s="671">
        <f>IF(BC$4&lt;&gt;1,"",COUNTIF(BC9:BC13,"✗"))</f>
        <v/>
      </c>
      <c r="BD15" s="671">
        <f>IF(BD$4&lt;&gt;1,"",COUNTIF(BD9:BD13,"✗"))</f>
        <v/>
      </c>
      <c r="BE15" s="671">
        <f>IF(BE$4&lt;&gt;1,"",COUNTIF(BE9:BE13,"✗"))</f>
        <v/>
      </c>
      <c r="BF15" s="671">
        <f>IF(BF$4&lt;&gt;1,"",COUNTIF(BF9:BF13,"✗"))</f>
        <v/>
      </c>
      <c r="BG15" s="671">
        <f>IF(BG$4&lt;&gt;1,"",COUNTIF(BG9:BG13,"✗"))</f>
        <v/>
      </c>
      <c r="BH15" s="671">
        <f>IF(BH$4&lt;&gt;1,"",COUNTIF(BH9:BH13,"✗"))</f>
        <v/>
      </c>
      <c r="BI15" s="671">
        <f>IF(BI$4&lt;&gt;1,"",COUNTIF(BI9:BI13,"✗"))</f>
        <v/>
      </c>
      <c r="BJ15" s="671">
        <f>IF(BJ$4&lt;&gt;1,"",COUNTIF(BJ9:BJ13,"✗"))</f>
        <v/>
      </c>
      <c r="BK15" s="671">
        <f>IF(BK$4&lt;&gt;1,"",COUNTIF(BK9:BK13,"✗"))</f>
        <v/>
      </c>
      <c r="BL15" s="671">
        <f>IF(BL$4&lt;&gt;1,"",COUNTIF(BL9:BL13,"✗"))</f>
        <v/>
      </c>
      <c r="BM15" s="671">
        <f>IF(BM$4&lt;&gt;1,"",COUNTIF(BM9:BM13,"✗"))</f>
        <v/>
      </c>
      <c r="BN15" s="671">
        <f>IF(BN$4&lt;&gt;1,"",COUNTIF(BN9:BN13,"✗"))</f>
        <v/>
      </c>
      <c r="BO15" s="671">
        <f>IF(BO$4&lt;&gt;1,"",COUNTIF(BO9:BO13,"✗"))</f>
        <v/>
      </c>
      <c r="BP15" s="671">
        <f>IF(BP$4&lt;&gt;1,"",COUNTIF(BP9:BP13,"✗"))</f>
        <v/>
      </c>
      <c r="BQ15" s="672" t="n"/>
      <c r="BR15" s="673" t="n"/>
      <c r="BS15" s="674" t="n"/>
      <c r="BT15" s="670">
        <f>IF(BT$4&lt;&gt;1,"",COUNTIF(BT9:BT13,"✗"))</f>
        <v/>
      </c>
      <c r="BU15" s="671">
        <f>IF(BU$4&lt;&gt;1,"",COUNTIF(BU9:BU13,"✗"))</f>
        <v/>
      </c>
      <c r="BV15" s="671">
        <f>IF(BV$4&lt;&gt;1,"",COUNTIF(BV9:BV13,"✗"))</f>
        <v/>
      </c>
      <c r="BW15" s="671">
        <f>IF(BW$4&lt;&gt;1,"",COUNTIF(BW9:BW13,"✗"))</f>
        <v/>
      </c>
      <c r="BX15" s="671">
        <f>IF(BX$4&lt;&gt;1,"",COUNTIF(BX9:BX13,"✗"))</f>
        <v/>
      </c>
      <c r="BY15" s="671">
        <f>IF(BY$4&lt;&gt;1,"",COUNTIF(BY9:BY13,"✗"))</f>
        <v/>
      </c>
      <c r="BZ15" s="671">
        <f>IF(BZ$4&lt;&gt;1,"",COUNTIF(BZ9:BZ13,"✗"))</f>
        <v/>
      </c>
      <c r="CA15" s="671">
        <f>IF(CA$4&lt;&gt;1,"",COUNTIF(CA9:CA13,"✗"))</f>
        <v/>
      </c>
      <c r="CB15" s="671">
        <f>IF(CB$4&lt;&gt;1,"",COUNTIF(CB9:CB13,"✗"))</f>
        <v/>
      </c>
      <c r="CC15" s="671">
        <f>IF(CC$4&lt;&gt;1,"",COUNTIF(CC9:CC13,"✗"))</f>
        <v/>
      </c>
      <c r="CD15" s="671">
        <f>IF(CD$4&lt;&gt;1,"",COUNTIF(CD9:CD13,"✗"))</f>
        <v/>
      </c>
      <c r="CE15" s="671">
        <f>IF(CE$4&lt;&gt;1,"",COUNTIF(CE9:CE13,"✗"))</f>
        <v/>
      </c>
      <c r="CF15" s="671">
        <f>IF(CF$4&lt;&gt;1,"",COUNTIF(CF9:CF13,"✗"))</f>
        <v/>
      </c>
      <c r="CG15" s="671">
        <f>IF(CG$4&lt;&gt;1,"",COUNTIF(CG9:CG13,"✗"))</f>
        <v/>
      </c>
      <c r="CH15" s="671">
        <f>IF(CH$4&lt;&gt;1,"",COUNTIF(CH9:CH13,"✗"))</f>
        <v/>
      </c>
      <c r="CI15" s="671">
        <f>IF(CI$4&lt;&gt;1,"",COUNTIF(CI9:CI13,"✗"))</f>
        <v/>
      </c>
      <c r="CJ15" s="671">
        <f>IF(CJ$4&lt;&gt;1,"",COUNTIF(CJ9:CJ13,"✗"))</f>
        <v/>
      </c>
      <c r="CK15" s="671">
        <f>IF(CK$4&lt;&gt;1,"",COUNTIF(CK9:CK13,"✗"))</f>
        <v/>
      </c>
      <c r="CL15" s="671">
        <f>IF(CL$4&lt;&gt;1,"",COUNTIF(CL9:CL13,"✗"))</f>
        <v/>
      </c>
      <c r="CM15" s="671">
        <f>IF(CM$4&lt;&gt;1,"",COUNTIF(CM9:CM13,"✗"))</f>
        <v/>
      </c>
      <c r="CN15" s="671">
        <f>IF(CN$4&lt;&gt;1,"",COUNTIF(CN9:CN13,"✗"))</f>
        <v/>
      </c>
      <c r="CO15" s="671">
        <f>IF(CO$4&lt;&gt;1,"",COUNTIF(CO9:CO13,"✗"))</f>
        <v/>
      </c>
      <c r="CP15" s="671">
        <f>IF(CP$4&lt;&gt;1,"",COUNTIF(CP9:CP13,"✗"))</f>
        <v/>
      </c>
      <c r="CQ15" s="671">
        <f>IF(CQ$4&lt;&gt;1,"",COUNTIF(CQ9:CQ13,"✗"))</f>
        <v/>
      </c>
      <c r="CR15" s="671">
        <f>IF(CR$4&lt;&gt;1,"",COUNTIF(CR9:CR13,"✗"))</f>
        <v/>
      </c>
      <c r="CS15" s="671">
        <f>IF(CS$4&lt;&gt;1,"",COUNTIF(CS9:CS13,"✗"))</f>
        <v/>
      </c>
      <c r="CT15" s="671">
        <f>IF(CT$4&lt;&gt;1,"",COUNTIF(CT9:CT13,"✗"))</f>
        <v/>
      </c>
      <c r="CU15" s="671">
        <f>IF(CU$4&lt;&gt;1,"",COUNTIF(CU9:CU13,"✗"))</f>
        <v/>
      </c>
      <c r="CV15" s="671">
        <f>IF(CV$4&lt;&gt;1,"",COUNTIF(CV9:CV13,"✗"))</f>
        <v/>
      </c>
      <c r="CW15" s="671">
        <f>IF(CW$4&lt;&gt;1,"",COUNTIF(CW9:CW13,"✗"))</f>
        <v/>
      </c>
      <c r="CX15" s="671">
        <f>IF(CX$4&lt;&gt;1,"",COUNTIF(CX9:CX13,"✗"))</f>
        <v/>
      </c>
      <c r="CY15" s="672" t="n"/>
      <c r="CZ15" s="673" t="n"/>
      <c r="DA15" s="674" t="n"/>
      <c r="DB15" s="670">
        <f>IF(DB$4&lt;&gt;1,"",COUNTIF(DB9:DB13,"✗"))</f>
        <v/>
      </c>
      <c r="DC15" s="671">
        <f>IF(DC$4&lt;&gt;1,"",COUNTIF(DC9:DC13,"✗"))</f>
        <v/>
      </c>
      <c r="DD15" s="671">
        <f>IF(DD$4&lt;&gt;1,"",COUNTIF(DD9:DD13,"✗"))</f>
        <v/>
      </c>
      <c r="DE15" s="671">
        <f>IF(DE$4&lt;&gt;1,"",COUNTIF(DE9:DE13,"✗"))</f>
        <v/>
      </c>
      <c r="DF15" s="671">
        <f>IF(DF$4&lt;&gt;1,"",COUNTIF(DF9:DF13,"✗"))</f>
        <v/>
      </c>
      <c r="DG15" s="671">
        <f>IF(DG$4&lt;&gt;1,"",COUNTIF(DG9:DG13,"✗"))</f>
        <v/>
      </c>
      <c r="DH15" s="671">
        <f>IF(DH$4&lt;&gt;1,"",COUNTIF(DH9:DH13,"✗"))</f>
        <v/>
      </c>
      <c r="DI15" s="671">
        <f>IF(DI$4&lt;&gt;1,"",COUNTIF(DI9:DI13,"✗"))</f>
        <v/>
      </c>
      <c r="DJ15" s="671">
        <f>IF(DJ$4&lt;&gt;1,"",COUNTIF(DJ9:DJ13,"✗"))</f>
        <v/>
      </c>
      <c r="DK15" s="671">
        <f>IF(DK$4&lt;&gt;1,"",COUNTIF(DK9:DK13,"✗"))</f>
        <v/>
      </c>
      <c r="DL15" s="671">
        <f>IF(DL$4&lt;&gt;1,"",COUNTIF(DL9:DL13,"✗"))</f>
        <v/>
      </c>
      <c r="DM15" s="671">
        <f>IF(DM$4&lt;&gt;1,"",COUNTIF(DM9:DM13,"✗"))</f>
        <v/>
      </c>
      <c r="DN15" s="671">
        <f>IF(DN$4&lt;&gt;1,"",COUNTIF(DN9:DN13,"✗"))</f>
        <v/>
      </c>
      <c r="DO15" s="671">
        <f>IF(DO$4&lt;&gt;1,"",COUNTIF(DO9:DO13,"✗"))</f>
        <v/>
      </c>
      <c r="DP15" s="671">
        <f>IF(DP$4&lt;&gt;1,"",COUNTIF(DP9:DP13,"✗"))</f>
        <v/>
      </c>
      <c r="DQ15" s="671">
        <f>IF(DQ$4&lt;&gt;1,"",COUNTIF(DQ9:DQ13,"✗"))</f>
        <v/>
      </c>
      <c r="DR15" s="671">
        <f>IF(DR$4&lt;&gt;1,"",COUNTIF(DR9:DR13,"✗"))</f>
        <v/>
      </c>
      <c r="DS15" s="671">
        <f>IF(DS$4&lt;&gt;1,"",COUNTIF(DS9:DS13,"✗"))</f>
        <v/>
      </c>
      <c r="DT15" s="671">
        <f>IF(DT$4&lt;&gt;1,"",COUNTIF(DT9:DT13,"✗"))</f>
        <v/>
      </c>
      <c r="DU15" s="671">
        <f>IF(DU$4&lt;&gt;1,"",COUNTIF(DU9:DU13,"✗"))</f>
        <v/>
      </c>
      <c r="DV15" s="671">
        <f>IF(DV$4&lt;&gt;1,"",COUNTIF(DV9:DV13,"✗"))</f>
        <v/>
      </c>
      <c r="DW15" s="671">
        <f>IF(DW$4&lt;&gt;1,"",COUNTIF(DW9:DW13,"✗"))</f>
        <v/>
      </c>
      <c r="DX15" s="671">
        <f>IF(DX$4&lt;&gt;1,"",COUNTIF(DX9:DX13,"✗"))</f>
        <v/>
      </c>
      <c r="DY15" s="671">
        <f>IF(DY$4&lt;&gt;1,"",COUNTIF(DY9:DY13,"✗"))</f>
        <v/>
      </c>
      <c r="DZ15" s="671">
        <f>IF(DZ$4&lt;&gt;1,"",COUNTIF(DZ9:DZ13,"✗"))</f>
        <v/>
      </c>
      <c r="EA15" s="671">
        <f>IF(EA$4&lt;&gt;1,"",COUNTIF(EA9:EA13,"✗"))</f>
        <v/>
      </c>
      <c r="EB15" s="671">
        <f>IF(EB$4&lt;&gt;1,"",COUNTIF(EB9:EB13,"✗"))</f>
        <v/>
      </c>
      <c r="EC15" s="671">
        <f>IF(EC$4&lt;&gt;1,"",COUNTIF(EC9:EC13,"✗"))</f>
        <v/>
      </c>
      <c r="ED15" s="671">
        <f>IF(ED$4&lt;&gt;1,"",COUNTIF(ED9:ED13,"✗"))</f>
        <v/>
      </c>
      <c r="EE15" s="671">
        <f>IF(EE$4&lt;&gt;1,"",COUNTIF(EE9:EE13,"✗"))</f>
        <v/>
      </c>
      <c r="EF15" s="671">
        <f>IF(EF$4&lt;&gt;1,"",COUNTIF(EF9:EF13,"✗"))</f>
        <v/>
      </c>
      <c r="EG15" s="672" t="n"/>
      <c r="EH15" s="673" t="n"/>
      <c r="EI15" s="674" t="n"/>
      <c r="EJ15" s="670">
        <f>IF(EJ$4&lt;&gt;1,"",COUNTIF(EJ9:EJ13,"✗"))</f>
        <v/>
      </c>
      <c r="EK15" s="671">
        <f>IF(EK$4&lt;&gt;1,"",COUNTIF(EK9:EK13,"✗"))</f>
        <v/>
      </c>
      <c r="EL15" s="671">
        <f>IF(EL$4&lt;&gt;1,"",COUNTIF(EL9:EL13,"✗"))</f>
        <v/>
      </c>
      <c r="EM15" s="671">
        <f>IF(EM$4&lt;&gt;1,"",COUNTIF(EM9:EM13,"✗"))</f>
        <v/>
      </c>
      <c r="EN15" s="671">
        <f>IF(EN$4&lt;&gt;1,"",COUNTIF(EN9:EN13,"✗"))</f>
        <v/>
      </c>
      <c r="EO15" s="671">
        <f>IF(EO$4&lt;&gt;1,"",COUNTIF(EO9:EO13,"✗"))</f>
        <v/>
      </c>
      <c r="EP15" s="671">
        <f>IF(EP$4&lt;&gt;1,"",COUNTIF(EP9:EP13,"✗"))</f>
        <v/>
      </c>
      <c r="EQ15" s="671">
        <f>IF(EQ$4&lt;&gt;1,"",COUNTIF(EQ9:EQ13,"✗"))</f>
        <v/>
      </c>
      <c r="ER15" s="671">
        <f>IF(ER$4&lt;&gt;1,"",COUNTIF(ER9:ER13,"✗"))</f>
        <v/>
      </c>
      <c r="ES15" s="671">
        <f>IF(ES$4&lt;&gt;1,"",COUNTIF(ES9:ES13,"✗"))</f>
        <v/>
      </c>
      <c r="ET15" s="671">
        <f>IF(ET$4&lt;&gt;1,"",COUNTIF(ET9:ET13,"✗"))</f>
        <v/>
      </c>
      <c r="EU15" s="671">
        <f>IF(EU$4&lt;&gt;1,"",COUNTIF(EU9:EU13,"✗"))</f>
        <v/>
      </c>
      <c r="EV15" s="671">
        <f>IF(EV$4&lt;&gt;1,"",COUNTIF(EV9:EV13,"✗"))</f>
        <v/>
      </c>
      <c r="EW15" s="671">
        <f>IF(EW$4&lt;&gt;1,"",COUNTIF(EW9:EW13,"✗"))</f>
        <v/>
      </c>
      <c r="EX15" s="671">
        <f>IF(EX$4&lt;&gt;1,"",COUNTIF(EX9:EX13,"✗"))</f>
        <v/>
      </c>
      <c r="EY15" s="671">
        <f>IF(EY$4&lt;&gt;1,"",COUNTIF(EY9:EY13,"✗"))</f>
        <v/>
      </c>
      <c r="EZ15" s="671">
        <f>IF(EZ$4&lt;&gt;1,"",COUNTIF(EZ9:EZ13,"✗"))</f>
        <v/>
      </c>
      <c r="FA15" s="671">
        <f>IF(FA$4&lt;&gt;1,"",COUNTIF(FA9:FA13,"✗"))</f>
        <v/>
      </c>
      <c r="FB15" s="671">
        <f>IF(FB$4&lt;&gt;1,"",COUNTIF(FB9:FB13,"✗"))</f>
        <v/>
      </c>
      <c r="FC15" s="671">
        <f>IF(FC$4&lt;&gt;1,"",COUNTIF(FC9:FC13,"✗"))</f>
        <v/>
      </c>
      <c r="FD15" s="671">
        <f>IF(FD$4&lt;&gt;1,"",COUNTIF(FD9:FD13,"✗"))</f>
        <v/>
      </c>
      <c r="FE15" s="671">
        <f>IF(FE$4&lt;&gt;1,"",COUNTIF(FE9:FE13,"✗"))</f>
        <v/>
      </c>
      <c r="FF15" s="671">
        <f>IF(FF$4&lt;&gt;1,"",COUNTIF(FF9:FF13,"✗"))</f>
        <v/>
      </c>
      <c r="FG15" s="671">
        <f>IF(FG$4&lt;&gt;1,"",COUNTIF(FG9:FG13,"✗"))</f>
        <v/>
      </c>
      <c r="FH15" s="671">
        <f>IF(FH$4&lt;&gt;1,"",COUNTIF(FH9:FH13,"✗"))</f>
        <v/>
      </c>
      <c r="FI15" s="671">
        <f>IF(FI$4&lt;&gt;1,"",COUNTIF(FI9:FI13,"✗"))</f>
        <v/>
      </c>
      <c r="FJ15" s="671">
        <f>IF(FJ$4&lt;&gt;1,"",COUNTIF(FJ9:FJ13,"✗"))</f>
        <v/>
      </c>
      <c r="FK15" s="671">
        <f>IF(FK$4&lt;&gt;1,"",COUNTIF(FK9:FK13,"✗"))</f>
        <v/>
      </c>
      <c r="FL15" s="671">
        <f>IF(FL$4&lt;&gt;1,"",COUNTIF(FL9:FL13,"✗"))</f>
        <v/>
      </c>
      <c r="FM15" s="671">
        <f>IF(FM$4&lt;&gt;1,"",COUNTIF(FM9:FM13,"✗"))</f>
        <v/>
      </c>
      <c r="FN15" s="671">
        <f>IF(FN$4&lt;&gt;1,"",COUNTIF(FN9:FN13,"✗"))</f>
        <v/>
      </c>
      <c r="FO15" s="672" t="n"/>
      <c r="FP15" s="673" t="n"/>
      <c r="FQ15" s="674" t="n"/>
    </row>
    <row r="16">
      <c r="A16" s="669" t="inlineStr">
        <is>
          <t>เวรวันนี้ (คน)</t>
        </is>
      </c>
      <c r="B16" s="184" t="n"/>
      <c r="C16" s="184" t="n"/>
      <c r="D16" s="670">
        <f>IF(D$4&lt;&gt;1,"",COUNTIF($C$9:$C$13,D$7))</f>
        <v/>
      </c>
      <c r="E16" s="671">
        <f>IF(E$4&lt;&gt;1,"",COUNTIF($C$9:$C$13,E$7))</f>
        <v/>
      </c>
      <c r="F16" s="671">
        <f>IF(F$4&lt;&gt;1,"",COUNTIF($C$9:$C$13,F$7))</f>
        <v/>
      </c>
      <c r="G16" s="671">
        <f>IF(G$4&lt;&gt;1,"",COUNTIF($C$9:$C$13,G$7))</f>
        <v/>
      </c>
      <c r="H16" s="671">
        <f>IF(H$4&lt;&gt;1,"",COUNTIF($C$9:$C$13,H$7))</f>
        <v/>
      </c>
      <c r="I16" s="671">
        <f>IF(I$4&lt;&gt;1,"",COUNTIF($C$9:$C$13,I$7))</f>
        <v/>
      </c>
      <c r="J16" s="671">
        <f>IF(J$4&lt;&gt;1,"",COUNTIF($C$9:$C$13,J$7))</f>
        <v/>
      </c>
      <c r="K16" s="671">
        <f>IF(K$4&lt;&gt;1,"",COUNTIF($C$9:$C$13,K$7))</f>
        <v/>
      </c>
      <c r="L16" s="671">
        <f>IF(L$4&lt;&gt;1,"",COUNTIF($C$9:$C$13,L$7))</f>
        <v/>
      </c>
      <c r="M16" s="671">
        <f>IF(M$4&lt;&gt;1,"",COUNTIF($C$9:$C$13,M$7))</f>
        <v/>
      </c>
      <c r="N16" s="671">
        <f>IF(N$4&lt;&gt;1,"",COUNTIF($C$9:$C$13,N$7))</f>
        <v/>
      </c>
      <c r="O16" s="671">
        <f>IF(O$4&lt;&gt;1,"",COUNTIF($C$9:$C$13,O$7))</f>
        <v/>
      </c>
      <c r="P16" s="671">
        <f>IF(P$4&lt;&gt;1,"",COUNTIF($C$9:$C$13,P$7))</f>
        <v/>
      </c>
      <c r="Q16" s="671">
        <f>IF(Q$4&lt;&gt;1,"",COUNTIF($C$9:$C$13,Q$7))</f>
        <v/>
      </c>
      <c r="R16" s="671">
        <f>IF(R$4&lt;&gt;1,"",COUNTIF($C$9:$C$13,R$7))</f>
        <v/>
      </c>
      <c r="S16" s="671">
        <f>IF(S$4&lt;&gt;1,"",COUNTIF($C$9:$C$13,S$7))</f>
        <v/>
      </c>
      <c r="T16" s="671">
        <f>IF(T$4&lt;&gt;1,"",COUNTIF($C$9:$C$13,T$7))</f>
        <v/>
      </c>
      <c r="U16" s="671">
        <f>IF(U$4&lt;&gt;1,"",COUNTIF($C$9:$C$13,U$7))</f>
        <v/>
      </c>
      <c r="V16" s="671">
        <f>IF(V$4&lt;&gt;1,"",COUNTIF($C$9:$C$13,V$7))</f>
        <v/>
      </c>
      <c r="W16" s="671">
        <f>IF(W$4&lt;&gt;1,"",COUNTIF($C$9:$C$13,W$7))</f>
        <v/>
      </c>
      <c r="X16" s="671">
        <f>IF(X$4&lt;&gt;1,"",COUNTIF($C$9:$C$13,X$7))</f>
        <v/>
      </c>
      <c r="Y16" s="671">
        <f>IF(Y$4&lt;&gt;1,"",COUNTIF($C$9:$C$13,Y$7))</f>
        <v/>
      </c>
      <c r="Z16" s="671">
        <f>IF(Z$4&lt;&gt;1,"",COUNTIF($C$9:$C$13,Z$7))</f>
        <v/>
      </c>
      <c r="AA16" s="671">
        <f>IF(AA$4&lt;&gt;1,"",COUNTIF($C$9:$C$13,AA$7))</f>
        <v/>
      </c>
      <c r="AB16" s="671">
        <f>IF(AB$4&lt;&gt;1,"",COUNTIF($C$9:$C$13,AB$7))</f>
        <v/>
      </c>
      <c r="AC16" s="671">
        <f>IF(AC$4&lt;&gt;1,"",COUNTIF($C$9:$C$13,AC$7))</f>
        <v/>
      </c>
      <c r="AD16" s="671">
        <f>IF(AD$4&lt;&gt;1,"",COUNTIF($C$9:$C$13,AD$7))</f>
        <v/>
      </c>
      <c r="AE16" s="671">
        <f>IF(AE$4&lt;&gt;1,"",COUNTIF($C$9:$C$13,AE$7))</f>
        <v/>
      </c>
      <c r="AF16" s="671">
        <f>IF(AF$4&lt;&gt;1,"",COUNTIF($C$9:$C$13,AF$7))</f>
        <v/>
      </c>
      <c r="AG16" s="671">
        <f>IF(AG$4&lt;&gt;1,"",COUNTIF($C$9:$C$13,AG$7))</f>
        <v/>
      </c>
      <c r="AH16" s="671">
        <f>IF(AH$4&lt;&gt;1,"",COUNTIF($C$9:$C$13,AH$7))</f>
        <v/>
      </c>
      <c r="AI16" s="672" t="n"/>
      <c r="AJ16" s="673" t="n"/>
      <c r="AK16" s="674" t="n"/>
      <c r="AL16" s="670">
        <f>IF(AL$4&lt;&gt;1,"",COUNTIF($C$9:$C$13,AL$7))</f>
        <v/>
      </c>
      <c r="AM16" s="671">
        <f>IF(AM$4&lt;&gt;1,"",COUNTIF($C$9:$C$13,AM$7))</f>
        <v/>
      </c>
      <c r="AN16" s="671">
        <f>IF(AN$4&lt;&gt;1,"",COUNTIF($C$9:$C$13,AN$7))</f>
        <v/>
      </c>
      <c r="AO16" s="671">
        <f>IF(AO$4&lt;&gt;1,"",COUNTIF($C$9:$C$13,AO$7))</f>
        <v/>
      </c>
      <c r="AP16" s="671">
        <f>IF(AP$4&lt;&gt;1,"",COUNTIF($C$9:$C$13,AP$7))</f>
        <v/>
      </c>
      <c r="AQ16" s="671">
        <f>IF(AQ$4&lt;&gt;1,"",COUNTIF($C$9:$C$13,AQ$7))</f>
        <v/>
      </c>
      <c r="AR16" s="671">
        <f>IF(AR$4&lt;&gt;1,"",COUNTIF($C$9:$C$13,AR$7))</f>
        <v/>
      </c>
      <c r="AS16" s="671">
        <f>IF(AS$4&lt;&gt;1,"",COUNTIF($C$9:$C$13,AS$7))</f>
        <v/>
      </c>
      <c r="AT16" s="671">
        <f>IF(AT$4&lt;&gt;1,"",COUNTIF($C$9:$C$13,AT$7))</f>
        <v/>
      </c>
      <c r="AU16" s="671">
        <f>IF(AU$4&lt;&gt;1,"",COUNTIF($C$9:$C$13,AU$7))</f>
        <v/>
      </c>
      <c r="AV16" s="671">
        <f>IF(AV$4&lt;&gt;1,"",COUNTIF($C$9:$C$13,AV$7))</f>
        <v/>
      </c>
      <c r="AW16" s="671">
        <f>IF(AW$4&lt;&gt;1,"",COUNTIF($C$9:$C$13,AW$7))</f>
        <v/>
      </c>
      <c r="AX16" s="671">
        <f>IF(AX$4&lt;&gt;1,"",COUNTIF($C$9:$C$13,AX$7))</f>
        <v/>
      </c>
      <c r="AY16" s="671">
        <f>IF(AY$4&lt;&gt;1,"",COUNTIF($C$9:$C$13,AY$7))</f>
        <v/>
      </c>
      <c r="AZ16" s="671">
        <f>IF(AZ$4&lt;&gt;1,"",COUNTIF($C$9:$C$13,AZ$7))</f>
        <v/>
      </c>
      <c r="BA16" s="671">
        <f>IF(BA$4&lt;&gt;1,"",COUNTIF($C$9:$C$13,BA$7))</f>
        <v/>
      </c>
      <c r="BB16" s="671">
        <f>IF(BB$4&lt;&gt;1,"",COUNTIF($C$9:$C$13,BB$7))</f>
        <v/>
      </c>
      <c r="BC16" s="671">
        <f>IF(BC$4&lt;&gt;1,"",COUNTIF($C$9:$C$13,BC$7))</f>
        <v/>
      </c>
      <c r="BD16" s="671">
        <f>IF(BD$4&lt;&gt;1,"",COUNTIF($C$9:$C$13,BD$7))</f>
        <v/>
      </c>
      <c r="BE16" s="671">
        <f>IF(BE$4&lt;&gt;1,"",COUNTIF($C$9:$C$13,BE$7))</f>
        <v/>
      </c>
      <c r="BF16" s="671">
        <f>IF(BF$4&lt;&gt;1,"",COUNTIF($C$9:$C$13,BF$7))</f>
        <v/>
      </c>
      <c r="BG16" s="671">
        <f>IF(BG$4&lt;&gt;1,"",COUNTIF($C$9:$C$13,BG$7))</f>
        <v/>
      </c>
      <c r="BH16" s="671">
        <f>IF(BH$4&lt;&gt;1,"",COUNTIF($C$9:$C$13,BH$7))</f>
        <v/>
      </c>
      <c r="BI16" s="671">
        <f>IF(BI$4&lt;&gt;1,"",COUNTIF($C$9:$C$13,BI$7))</f>
        <v/>
      </c>
      <c r="BJ16" s="671">
        <f>IF(BJ$4&lt;&gt;1,"",COUNTIF($C$9:$C$13,BJ$7))</f>
        <v/>
      </c>
      <c r="BK16" s="671">
        <f>IF(BK$4&lt;&gt;1,"",COUNTIF($C$9:$C$13,BK$7))</f>
        <v/>
      </c>
      <c r="BL16" s="671">
        <f>IF(BL$4&lt;&gt;1,"",COUNTIF($C$9:$C$13,BL$7))</f>
        <v/>
      </c>
      <c r="BM16" s="671">
        <f>IF(BM$4&lt;&gt;1,"",COUNTIF($C$9:$C$13,BM$7))</f>
        <v/>
      </c>
      <c r="BN16" s="671">
        <f>IF(BN$4&lt;&gt;1,"",COUNTIF($C$9:$C$13,BN$7))</f>
        <v/>
      </c>
      <c r="BO16" s="671">
        <f>IF(BO$4&lt;&gt;1,"",COUNTIF($C$9:$C$13,BO$7))</f>
        <v/>
      </c>
      <c r="BP16" s="671">
        <f>IF(BP$4&lt;&gt;1,"",COUNTIF($C$9:$C$13,BP$7))</f>
        <v/>
      </c>
      <c r="BQ16" s="672" t="n"/>
      <c r="BR16" s="673" t="n"/>
      <c r="BS16" s="674" t="n"/>
      <c r="BT16" s="670">
        <f>IF(BT$4&lt;&gt;1,"",COUNTIF($C$9:$C$13,BT$7))</f>
        <v/>
      </c>
      <c r="BU16" s="671">
        <f>IF(BU$4&lt;&gt;1,"",COUNTIF($C$9:$C$13,BU$7))</f>
        <v/>
      </c>
      <c r="BV16" s="671">
        <f>IF(BV$4&lt;&gt;1,"",COUNTIF($C$9:$C$13,BV$7))</f>
        <v/>
      </c>
      <c r="BW16" s="671">
        <f>IF(BW$4&lt;&gt;1,"",COUNTIF($C$9:$C$13,BW$7))</f>
        <v/>
      </c>
      <c r="BX16" s="671">
        <f>IF(BX$4&lt;&gt;1,"",COUNTIF($C$9:$C$13,BX$7))</f>
        <v/>
      </c>
      <c r="BY16" s="671">
        <f>IF(BY$4&lt;&gt;1,"",COUNTIF($C$9:$C$13,BY$7))</f>
        <v/>
      </c>
      <c r="BZ16" s="671">
        <f>IF(BZ$4&lt;&gt;1,"",COUNTIF($C$9:$C$13,BZ$7))</f>
        <v/>
      </c>
      <c r="CA16" s="671">
        <f>IF(CA$4&lt;&gt;1,"",COUNTIF($C$9:$C$13,CA$7))</f>
        <v/>
      </c>
      <c r="CB16" s="671">
        <f>IF(CB$4&lt;&gt;1,"",COUNTIF($C$9:$C$13,CB$7))</f>
        <v/>
      </c>
      <c r="CC16" s="671">
        <f>IF(CC$4&lt;&gt;1,"",COUNTIF($C$9:$C$13,CC$7))</f>
        <v/>
      </c>
      <c r="CD16" s="671">
        <f>IF(CD$4&lt;&gt;1,"",COUNTIF($C$9:$C$13,CD$7))</f>
        <v/>
      </c>
      <c r="CE16" s="671">
        <f>IF(CE$4&lt;&gt;1,"",COUNTIF($C$9:$C$13,CE$7))</f>
        <v/>
      </c>
      <c r="CF16" s="671">
        <f>IF(CF$4&lt;&gt;1,"",COUNTIF($C$9:$C$13,CF$7))</f>
        <v/>
      </c>
      <c r="CG16" s="671">
        <f>IF(CG$4&lt;&gt;1,"",COUNTIF($C$9:$C$13,CG$7))</f>
        <v/>
      </c>
      <c r="CH16" s="671">
        <f>IF(CH$4&lt;&gt;1,"",COUNTIF($C$9:$C$13,CH$7))</f>
        <v/>
      </c>
      <c r="CI16" s="671">
        <f>IF(CI$4&lt;&gt;1,"",COUNTIF($C$9:$C$13,CI$7))</f>
        <v/>
      </c>
      <c r="CJ16" s="671">
        <f>IF(CJ$4&lt;&gt;1,"",COUNTIF($C$9:$C$13,CJ$7))</f>
        <v/>
      </c>
      <c r="CK16" s="671">
        <f>IF(CK$4&lt;&gt;1,"",COUNTIF($C$9:$C$13,CK$7))</f>
        <v/>
      </c>
      <c r="CL16" s="671">
        <f>IF(CL$4&lt;&gt;1,"",COUNTIF($C$9:$C$13,CL$7))</f>
        <v/>
      </c>
      <c r="CM16" s="671">
        <f>IF(CM$4&lt;&gt;1,"",COUNTIF($C$9:$C$13,CM$7))</f>
        <v/>
      </c>
      <c r="CN16" s="671">
        <f>IF(CN$4&lt;&gt;1,"",COUNTIF($C$9:$C$13,CN$7))</f>
        <v/>
      </c>
      <c r="CO16" s="671">
        <f>IF(CO$4&lt;&gt;1,"",COUNTIF($C$9:$C$13,CO$7))</f>
        <v/>
      </c>
      <c r="CP16" s="671">
        <f>IF(CP$4&lt;&gt;1,"",COUNTIF($C$9:$C$13,CP$7))</f>
        <v/>
      </c>
      <c r="CQ16" s="671">
        <f>IF(CQ$4&lt;&gt;1,"",COUNTIF($C$9:$C$13,CQ$7))</f>
        <v/>
      </c>
      <c r="CR16" s="671">
        <f>IF(CR$4&lt;&gt;1,"",COUNTIF($C$9:$C$13,CR$7))</f>
        <v/>
      </c>
      <c r="CS16" s="671">
        <f>IF(CS$4&lt;&gt;1,"",COUNTIF($C$9:$C$13,CS$7))</f>
        <v/>
      </c>
      <c r="CT16" s="671">
        <f>IF(CT$4&lt;&gt;1,"",COUNTIF($C$9:$C$13,CT$7))</f>
        <v/>
      </c>
      <c r="CU16" s="671">
        <f>IF(CU$4&lt;&gt;1,"",COUNTIF($C$9:$C$13,CU$7))</f>
        <v/>
      </c>
      <c r="CV16" s="671">
        <f>IF(CV$4&lt;&gt;1,"",COUNTIF($C$9:$C$13,CV$7))</f>
        <v/>
      </c>
      <c r="CW16" s="671">
        <f>IF(CW$4&lt;&gt;1,"",COUNTIF($C$9:$C$13,CW$7))</f>
        <v/>
      </c>
      <c r="CX16" s="671">
        <f>IF(CX$4&lt;&gt;1,"",COUNTIF($C$9:$C$13,CX$7))</f>
        <v/>
      </c>
      <c r="CY16" s="672" t="n"/>
      <c r="CZ16" s="673" t="n"/>
      <c r="DA16" s="674" t="n"/>
      <c r="DB16" s="670">
        <f>IF(DB$4&lt;&gt;1,"",COUNTIF($C$9:$C$13,DB$7))</f>
        <v/>
      </c>
      <c r="DC16" s="671">
        <f>IF(DC$4&lt;&gt;1,"",COUNTIF($C$9:$C$13,DC$7))</f>
        <v/>
      </c>
      <c r="DD16" s="671">
        <f>IF(DD$4&lt;&gt;1,"",COUNTIF($C$9:$C$13,DD$7))</f>
        <v/>
      </c>
      <c r="DE16" s="671">
        <f>IF(DE$4&lt;&gt;1,"",COUNTIF($C$9:$C$13,DE$7))</f>
        <v/>
      </c>
      <c r="DF16" s="671">
        <f>IF(DF$4&lt;&gt;1,"",COUNTIF($C$9:$C$13,DF$7))</f>
        <v/>
      </c>
      <c r="DG16" s="671">
        <f>IF(DG$4&lt;&gt;1,"",COUNTIF($C$9:$C$13,DG$7))</f>
        <v/>
      </c>
      <c r="DH16" s="671">
        <f>IF(DH$4&lt;&gt;1,"",COUNTIF($C$9:$C$13,DH$7))</f>
        <v/>
      </c>
      <c r="DI16" s="671">
        <f>IF(DI$4&lt;&gt;1,"",COUNTIF($C$9:$C$13,DI$7))</f>
        <v/>
      </c>
      <c r="DJ16" s="671">
        <f>IF(DJ$4&lt;&gt;1,"",COUNTIF($C$9:$C$13,DJ$7))</f>
        <v/>
      </c>
      <c r="DK16" s="671">
        <f>IF(DK$4&lt;&gt;1,"",COUNTIF($C$9:$C$13,DK$7))</f>
        <v/>
      </c>
      <c r="DL16" s="671">
        <f>IF(DL$4&lt;&gt;1,"",COUNTIF($C$9:$C$13,DL$7))</f>
        <v/>
      </c>
      <c r="DM16" s="671">
        <f>IF(DM$4&lt;&gt;1,"",COUNTIF($C$9:$C$13,DM$7))</f>
        <v/>
      </c>
      <c r="DN16" s="671">
        <f>IF(DN$4&lt;&gt;1,"",COUNTIF($C$9:$C$13,DN$7))</f>
        <v/>
      </c>
      <c r="DO16" s="671">
        <f>IF(DO$4&lt;&gt;1,"",COUNTIF($C$9:$C$13,DO$7))</f>
        <v/>
      </c>
      <c r="DP16" s="671">
        <f>IF(DP$4&lt;&gt;1,"",COUNTIF($C$9:$C$13,DP$7))</f>
        <v/>
      </c>
      <c r="DQ16" s="671">
        <f>IF(DQ$4&lt;&gt;1,"",COUNTIF($C$9:$C$13,DQ$7))</f>
        <v/>
      </c>
      <c r="DR16" s="671">
        <f>IF(DR$4&lt;&gt;1,"",COUNTIF($C$9:$C$13,DR$7))</f>
        <v/>
      </c>
      <c r="DS16" s="671">
        <f>IF(DS$4&lt;&gt;1,"",COUNTIF($C$9:$C$13,DS$7))</f>
        <v/>
      </c>
      <c r="DT16" s="671">
        <f>IF(DT$4&lt;&gt;1,"",COUNTIF($C$9:$C$13,DT$7))</f>
        <v/>
      </c>
      <c r="DU16" s="671">
        <f>IF(DU$4&lt;&gt;1,"",COUNTIF($C$9:$C$13,DU$7))</f>
        <v/>
      </c>
      <c r="DV16" s="671">
        <f>IF(DV$4&lt;&gt;1,"",COUNTIF($C$9:$C$13,DV$7))</f>
        <v/>
      </c>
      <c r="DW16" s="671">
        <f>IF(DW$4&lt;&gt;1,"",COUNTIF($C$9:$C$13,DW$7))</f>
        <v/>
      </c>
      <c r="DX16" s="671">
        <f>IF(DX$4&lt;&gt;1,"",COUNTIF($C$9:$C$13,DX$7))</f>
        <v/>
      </c>
      <c r="DY16" s="671">
        <f>IF(DY$4&lt;&gt;1,"",COUNTIF($C$9:$C$13,DY$7))</f>
        <v/>
      </c>
      <c r="DZ16" s="671">
        <f>IF(DZ$4&lt;&gt;1,"",COUNTIF($C$9:$C$13,DZ$7))</f>
        <v/>
      </c>
      <c r="EA16" s="671">
        <f>IF(EA$4&lt;&gt;1,"",COUNTIF($C$9:$C$13,EA$7))</f>
        <v/>
      </c>
      <c r="EB16" s="671">
        <f>IF(EB$4&lt;&gt;1,"",COUNTIF($C$9:$C$13,EB$7))</f>
        <v/>
      </c>
      <c r="EC16" s="671">
        <f>IF(EC$4&lt;&gt;1,"",COUNTIF($C$9:$C$13,EC$7))</f>
        <v/>
      </c>
      <c r="ED16" s="671">
        <f>IF(ED$4&lt;&gt;1,"",COUNTIF($C$9:$C$13,ED$7))</f>
        <v/>
      </c>
      <c r="EE16" s="671">
        <f>IF(EE$4&lt;&gt;1,"",COUNTIF($C$9:$C$13,EE$7))</f>
        <v/>
      </c>
      <c r="EF16" s="671">
        <f>IF(EF$4&lt;&gt;1,"",COUNTIF($C$9:$C$13,EF$7))</f>
        <v/>
      </c>
      <c r="EG16" s="672" t="n"/>
      <c r="EH16" s="673" t="n"/>
      <c r="EI16" s="674" t="n"/>
      <c r="EJ16" s="670">
        <f>IF(EJ$4&lt;&gt;1,"",COUNTIF($C$9:$C$13,EJ$7))</f>
        <v/>
      </c>
      <c r="EK16" s="671">
        <f>IF(EK$4&lt;&gt;1,"",COUNTIF($C$9:$C$13,EK$7))</f>
        <v/>
      </c>
      <c r="EL16" s="671">
        <f>IF(EL$4&lt;&gt;1,"",COUNTIF($C$9:$C$13,EL$7))</f>
        <v/>
      </c>
      <c r="EM16" s="671">
        <f>IF(EM$4&lt;&gt;1,"",COUNTIF($C$9:$C$13,EM$7))</f>
        <v/>
      </c>
      <c r="EN16" s="671">
        <f>IF(EN$4&lt;&gt;1,"",COUNTIF($C$9:$C$13,EN$7))</f>
        <v/>
      </c>
      <c r="EO16" s="671">
        <f>IF(EO$4&lt;&gt;1,"",COUNTIF($C$9:$C$13,EO$7))</f>
        <v/>
      </c>
      <c r="EP16" s="671">
        <f>IF(EP$4&lt;&gt;1,"",COUNTIF($C$9:$C$13,EP$7))</f>
        <v/>
      </c>
      <c r="EQ16" s="671">
        <f>IF(EQ$4&lt;&gt;1,"",COUNTIF($C$9:$C$13,EQ$7))</f>
        <v/>
      </c>
      <c r="ER16" s="671">
        <f>IF(ER$4&lt;&gt;1,"",COUNTIF($C$9:$C$13,ER$7))</f>
        <v/>
      </c>
      <c r="ES16" s="671">
        <f>IF(ES$4&lt;&gt;1,"",COUNTIF($C$9:$C$13,ES$7))</f>
        <v/>
      </c>
      <c r="ET16" s="671">
        <f>IF(ET$4&lt;&gt;1,"",COUNTIF($C$9:$C$13,ET$7))</f>
        <v/>
      </c>
      <c r="EU16" s="671">
        <f>IF(EU$4&lt;&gt;1,"",COUNTIF($C$9:$C$13,EU$7))</f>
        <v/>
      </c>
      <c r="EV16" s="671">
        <f>IF(EV$4&lt;&gt;1,"",COUNTIF($C$9:$C$13,EV$7))</f>
        <v/>
      </c>
      <c r="EW16" s="671">
        <f>IF(EW$4&lt;&gt;1,"",COUNTIF($C$9:$C$13,EW$7))</f>
        <v/>
      </c>
      <c r="EX16" s="671">
        <f>IF(EX$4&lt;&gt;1,"",COUNTIF($C$9:$C$13,EX$7))</f>
        <v/>
      </c>
      <c r="EY16" s="671">
        <f>IF(EY$4&lt;&gt;1,"",COUNTIF($C$9:$C$13,EY$7))</f>
        <v/>
      </c>
      <c r="EZ16" s="671">
        <f>IF(EZ$4&lt;&gt;1,"",COUNTIF($C$9:$C$13,EZ$7))</f>
        <v/>
      </c>
      <c r="FA16" s="671">
        <f>IF(FA$4&lt;&gt;1,"",COUNTIF($C$9:$C$13,FA$7))</f>
        <v/>
      </c>
      <c r="FB16" s="671">
        <f>IF(FB$4&lt;&gt;1,"",COUNTIF($C$9:$C$13,FB$7))</f>
        <v/>
      </c>
      <c r="FC16" s="671">
        <f>IF(FC$4&lt;&gt;1,"",COUNTIF($C$9:$C$13,FC$7))</f>
        <v/>
      </c>
      <c r="FD16" s="671">
        <f>IF(FD$4&lt;&gt;1,"",COUNTIF($C$9:$C$13,FD$7))</f>
        <v/>
      </c>
      <c r="FE16" s="671">
        <f>IF(FE$4&lt;&gt;1,"",COUNTIF($C$9:$C$13,FE$7))</f>
        <v/>
      </c>
      <c r="FF16" s="671">
        <f>IF(FF$4&lt;&gt;1,"",COUNTIF($C$9:$C$13,FF$7))</f>
        <v/>
      </c>
      <c r="FG16" s="671">
        <f>IF(FG$4&lt;&gt;1,"",COUNTIF($C$9:$C$13,FG$7))</f>
        <v/>
      </c>
      <c r="FH16" s="671">
        <f>IF(FH$4&lt;&gt;1,"",COUNTIF($C$9:$C$13,FH$7))</f>
        <v/>
      </c>
      <c r="FI16" s="671">
        <f>IF(FI$4&lt;&gt;1,"",COUNTIF($C$9:$C$13,FI$7))</f>
        <v/>
      </c>
      <c r="FJ16" s="671">
        <f>IF(FJ$4&lt;&gt;1,"",COUNTIF($C$9:$C$13,FJ$7))</f>
        <v/>
      </c>
      <c r="FK16" s="671">
        <f>IF(FK$4&lt;&gt;1,"",COUNTIF($C$9:$C$13,FK$7))</f>
        <v/>
      </c>
      <c r="FL16" s="671">
        <f>IF(FL$4&lt;&gt;1,"",COUNTIF($C$9:$C$13,FL$7))</f>
        <v/>
      </c>
      <c r="FM16" s="671">
        <f>IF(FM$4&lt;&gt;1,"",COUNTIF($C$9:$C$13,FM$7))</f>
        <v/>
      </c>
      <c r="FN16" s="671">
        <f>IF(FN$4&lt;&gt;1,"",COUNTIF($C$9:$C$13,FN$7))</f>
        <v/>
      </c>
      <c r="FO16" s="672" t="n"/>
      <c r="FP16" s="673" t="n"/>
      <c r="FQ16" s="674" t="n"/>
    </row>
    <row r="17">
      <c r="A17" s="669" t="inlineStr"/>
      <c r="B17" s="184" t="n"/>
      <c r="C17" s="184" t="n"/>
      <c r="D17" s="675" t="n"/>
      <c r="E17" s="676" t="n"/>
      <c r="F17" s="676" t="n"/>
      <c r="G17" s="676" t="n"/>
      <c r="H17" s="676" t="n"/>
      <c r="I17" s="676" t="n"/>
      <c r="J17" s="676" t="n"/>
      <c r="K17" s="676" t="n"/>
      <c r="L17" s="676" t="n"/>
      <c r="M17" s="676" t="n"/>
      <c r="N17" s="676" t="n"/>
      <c r="O17" s="676" t="n"/>
      <c r="P17" s="676" t="n"/>
      <c r="Q17" s="676" t="n"/>
      <c r="R17" s="676" t="n"/>
      <c r="S17" s="676" t="n"/>
      <c r="T17" s="676" t="n"/>
      <c r="U17" s="676" t="n"/>
      <c r="V17" s="676" t="n"/>
      <c r="W17" s="676" t="n"/>
      <c r="X17" s="676" t="n"/>
      <c r="Y17" s="676" t="n"/>
      <c r="Z17" s="676" t="n"/>
      <c r="AA17" s="676" t="n"/>
      <c r="AB17" s="676" t="n"/>
      <c r="AC17" s="676" t="n"/>
      <c r="AD17" s="676" t="n"/>
      <c r="AE17" s="676" t="n"/>
      <c r="AF17" s="676" t="n"/>
      <c r="AG17" s="676" t="n"/>
      <c r="AH17" s="676" t="n"/>
      <c r="AI17" s="672" t="n"/>
      <c r="AJ17" s="673" t="n"/>
      <c r="AK17" s="674" t="n"/>
      <c r="AL17" s="675" t="n"/>
      <c r="AM17" s="676" t="n"/>
      <c r="AN17" s="676" t="n"/>
      <c r="AO17" s="676" t="n"/>
      <c r="AP17" s="676" t="n"/>
      <c r="AQ17" s="676" t="n"/>
      <c r="AR17" s="676" t="n"/>
      <c r="AS17" s="676" t="n"/>
      <c r="AT17" s="676" t="n"/>
      <c r="AU17" s="676" t="n"/>
      <c r="AV17" s="676" t="n"/>
      <c r="AW17" s="676" t="n"/>
      <c r="AX17" s="676" t="n"/>
      <c r="AY17" s="676" t="n"/>
      <c r="AZ17" s="676" t="n"/>
      <c r="BA17" s="676" t="n"/>
      <c r="BB17" s="676" t="n"/>
      <c r="BC17" s="676" t="n"/>
      <c r="BD17" s="676" t="n"/>
      <c r="BE17" s="676" t="n"/>
      <c r="BF17" s="676" t="n"/>
      <c r="BG17" s="676" t="n"/>
      <c r="BH17" s="676" t="n"/>
      <c r="BI17" s="676" t="n"/>
      <c r="BJ17" s="676" t="n"/>
      <c r="BK17" s="676" t="n"/>
      <c r="BL17" s="676" t="n"/>
      <c r="BM17" s="676" t="n"/>
      <c r="BN17" s="676" t="n"/>
      <c r="BO17" s="676" t="n"/>
      <c r="BP17" s="676" t="n"/>
      <c r="BQ17" s="672" t="n"/>
      <c r="BR17" s="673" t="n"/>
      <c r="BS17" s="674" t="n"/>
      <c r="BT17" s="675" t="n"/>
      <c r="BU17" s="676" t="n"/>
      <c r="BV17" s="676" t="n"/>
      <c r="BW17" s="676" t="n"/>
      <c r="BX17" s="676" t="n"/>
      <c r="BY17" s="676" t="n"/>
      <c r="BZ17" s="676" t="n"/>
      <c r="CA17" s="676" t="n"/>
      <c r="CB17" s="676" t="n"/>
      <c r="CC17" s="676" t="n"/>
      <c r="CD17" s="676" t="n"/>
      <c r="CE17" s="676" t="n"/>
      <c r="CF17" s="676" t="n"/>
      <c r="CG17" s="676" t="n"/>
      <c r="CH17" s="676" t="n"/>
      <c r="CI17" s="676" t="n"/>
      <c r="CJ17" s="676" t="n"/>
      <c r="CK17" s="676" t="n"/>
      <c r="CL17" s="676" t="n"/>
      <c r="CM17" s="676" t="n"/>
      <c r="CN17" s="676" t="n"/>
      <c r="CO17" s="676" t="n"/>
      <c r="CP17" s="676" t="n"/>
      <c r="CQ17" s="676" t="n"/>
      <c r="CR17" s="676" t="n"/>
      <c r="CS17" s="676" t="n"/>
      <c r="CT17" s="676" t="n"/>
      <c r="CU17" s="676" t="n"/>
      <c r="CV17" s="676" t="n"/>
      <c r="CW17" s="676" t="n"/>
      <c r="CX17" s="676" t="n"/>
      <c r="CY17" s="672" t="n"/>
      <c r="CZ17" s="673" t="n"/>
      <c r="DA17" s="674" t="n"/>
      <c r="DB17" s="675" t="n"/>
      <c r="DC17" s="676" t="n"/>
      <c r="DD17" s="676" t="n"/>
      <c r="DE17" s="676" t="n"/>
      <c r="DF17" s="676" t="n"/>
      <c r="DG17" s="676" t="n"/>
      <c r="DH17" s="676" t="n"/>
      <c r="DI17" s="676" t="n"/>
      <c r="DJ17" s="676" t="n"/>
      <c r="DK17" s="676" t="n"/>
      <c r="DL17" s="676" t="n"/>
      <c r="DM17" s="676" t="n"/>
      <c r="DN17" s="676" t="n"/>
      <c r="DO17" s="676" t="n"/>
      <c r="DP17" s="676" t="n"/>
      <c r="DQ17" s="676" t="n"/>
      <c r="DR17" s="676" t="n"/>
      <c r="DS17" s="676" t="n"/>
      <c r="DT17" s="676" t="n"/>
      <c r="DU17" s="676" t="n"/>
      <c r="DV17" s="676" t="n"/>
      <c r="DW17" s="676" t="n"/>
      <c r="DX17" s="676" t="n"/>
      <c r="DY17" s="676" t="n"/>
      <c r="DZ17" s="676" t="n"/>
      <c r="EA17" s="676" t="n"/>
      <c r="EB17" s="676" t="n"/>
      <c r="EC17" s="676" t="n"/>
      <c r="ED17" s="676" t="n"/>
      <c r="EE17" s="676" t="n"/>
      <c r="EF17" s="676" t="n"/>
      <c r="EG17" s="672" t="n"/>
      <c r="EH17" s="673" t="n"/>
      <c r="EI17" s="674" t="n"/>
      <c r="EJ17" s="675" t="n"/>
      <c r="EK17" s="676" t="n"/>
      <c r="EL17" s="676" t="n"/>
      <c r="EM17" s="676" t="n"/>
      <c r="EN17" s="676" t="n"/>
      <c r="EO17" s="676" t="n"/>
      <c r="EP17" s="676" t="n"/>
      <c r="EQ17" s="676" t="n"/>
      <c r="ER17" s="676" t="n"/>
      <c r="ES17" s="676" t="n"/>
      <c r="ET17" s="676" t="n"/>
      <c r="EU17" s="676" t="n"/>
      <c r="EV17" s="676" t="n"/>
      <c r="EW17" s="676" t="n"/>
      <c r="EX17" s="676" t="n"/>
      <c r="EY17" s="676" t="n"/>
      <c r="EZ17" s="676" t="n"/>
      <c r="FA17" s="676" t="n"/>
      <c r="FB17" s="676" t="n"/>
      <c r="FC17" s="676" t="n"/>
      <c r="FD17" s="676" t="n"/>
      <c r="FE17" s="676" t="n"/>
      <c r="FF17" s="676" t="n"/>
      <c r="FG17" s="676" t="n"/>
      <c r="FH17" s="676" t="n"/>
      <c r="FI17" s="676" t="n"/>
      <c r="FJ17" s="676" t="n"/>
      <c r="FK17" s="676" t="n"/>
      <c r="FL17" s="676" t="n"/>
      <c r="FM17" s="676" t="n"/>
      <c r="FN17" s="676" t="n"/>
      <c r="FO17" s="672" t="n"/>
      <c r="FP17" s="673" t="n"/>
      <c r="FQ17" s="674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0">
      <formula>AND($C9&lt;&gt;"",D$7=$C9,D$4=1)</formula>
    </cfRule>
    <cfRule type="expression" priority="16" dxfId="19">
      <formula>OR('มาเรียน-ภ2'!D9="ข",'มาเรียน-ภ2'!D9="ล",'มาเรียน-ภ2'!D9="ป")</formula>
    </cfRule>
  </conditionalFormatting>
  <dataValidations count="6">
    <dataValidation sqref="D9:AH13" showDropDown="0" showInputMessage="0" showErrorMessage="0" allowBlank="1" errorTitle="ตรวจสอบข้อมูล" error="ใช้รหัส: ✓  ✗" type="list">
      <formula1>"✓,✗"</formula1>
    </dataValidation>
    <dataValidation sqref="AL9:BP13" showDropDown="0" showInputMessage="0" showErrorMessage="0" allowBlank="1" errorTitle="ตรวจสอบข้อมูล" error="ใช้รหัส: ✓  ✗" type="list">
      <formula1>"✓,✗"</formula1>
    </dataValidation>
    <dataValidation sqref="BT9:CX13" showDropDown="0" showInputMessage="0" showErrorMessage="0" allowBlank="1" errorTitle="ตรวจสอบข้อมูล" error="ใช้รหัส: ✓  ✗" type="list">
      <formula1>"✓,✗"</formula1>
    </dataValidation>
    <dataValidation sqref="DB9:EF13" showDropDown="0" showInputMessage="0" showErrorMessage="0" allowBlank="1" errorTitle="ตรวจสอบข้อมูล" error="ใช้รหัส: ✓  ✗" type="list">
      <formula1>"✓,✗"</formula1>
    </dataValidation>
    <dataValidation sqref="EJ9:FN13" showDropDown="0" showInputMessage="0" showErrorMessage="0" allowBlank="1" errorTitle="ตรวจสอบข้อมูล" error="ใช้รหัส: ✓  ✗" type="list">
      <formula1>"✓,✗"</formula1>
    </dataValidation>
    <dataValidation sqref="C9:C13" showDropDown="0" showInputMessage="0" showErrorMessage="0" allowBlank="1" errorTitle="ตรวจสอบข้อมูล" error="ข้อมูลไม่ถูกต้อง กรุณาเลือกจากรายการ" type="list">
      <formula1>"จ.,อ.,พ.,พฤ.,ศ."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tabColor rgb="00FCC850"/>
    <outlinePr summaryBelow="1" summaryRight="1"/>
    <pageSetUpPr fitToPage="1"/>
  </sheetPr>
  <dimension ref="A1:GY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4.3" customWidth="1" min="34" max="34"/>
    <col width="7" customWidth="1" min="35" max="35"/>
    <col width="7" customWidth="1" min="36" max="36"/>
    <col width="7" customWidth="1" min="37" max="37"/>
    <col width="4.3" customWidth="1" min="38" max="38"/>
    <col width="4.3" customWidth="1" min="39" max="39"/>
    <col width="4.3" customWidth="1" min="40" max="40"/>
    <col width="4.3" customWidth="1" min="41" max="41"/>
    <col width="4.3" customWidth="1" min="42" max="42"/>
    <col width="4.3" customWidth="1" min="43" max="43"/>
    <col width="4.3" customWidth="1" min="44" max="44"/>
    <col width="4.3" customWidth="1" min="45" max="45"/>
    <col width="4.3" customWidth="1" min="46" max="46"/>
    <col width="4.3" customWidth="1" min="47" max="47"/>
    <col width="4.3" customWidth="1" min="48" max="48"/>
    <col width="4.3" customWidth="1" min="49" max="49"/>
    <col width="4.3" customWidth="1" min="50" max="50"/>
    <col width="4.3" customWidth="1" min="51" max="51"/>
    <col width="4.3" customWidth="1" min="52" max="52"/>
    <col width="4.3" customWidth="1" min="53" max="53"/>
    <col width="4.3" customWidth="1" min="54" max="54"/>
    <col width="4.3" customWidth="1" min="55" max="55"/>
    <col width="4.3" customWidth="1" min="56" max="56"/>
    <col width="4.3" customWidth="1" min="57" max="57"/>
    <col width="4.3" customWidth="1" min="58" max="58"/>
    <col width="4.3" customWidth="1" min="59" max="59"/>
    <col width="4.3" customWidth="1" min="60" max="60"/>
    <col width="4.3" customWidth="1" min="61" max="61"/>
    <col width="4.3" customWidth="1" min="62" max="62"/>
    <col width="4.3" customWidth="1" min="63" max="63"/>
    <col width="4.3" customWidth="1" min="64" max="64"/>
    <col width="4.3" customWidth="1" min="65" max="65"/>
    <col width="4.3" customWidth="1" min="66" max="66"/>
    <col width="4.3" customWidth="1" min="67" max="67"/>
    <col width="4.3" customWidth="1" min="68" max="68"/>
    <col width="7" customWidth="1" min="69" max="69"/>
    <col width="7" customWidth="1" min="70" max="70"/>
    <col width="7" customWidth="1" min="71" max="71"/>
    <col width="4.3" customWidth="1" min="72" max="72"/>
    <col width="4.3" customWidth="1" min="73" max="73"/>
    <col width="4.3" customWidth="1" min="74" max="74"/>
    <col width="4.3" customWidth="1" min="75" max="75"/>
    <col width="4.3" customWidth="1" min="76" max="76"/>
    <col width="4.3" customWidth="1" min="77" max="77"/>
    <col width="4.3" customWidth="1" min="78" max="78"/>
    <col width="4.3" customWidth="1" min="79" max="79"/>
    <col width="4.3" customWidth="1" min="80" max="80"/>
    <col width="4.3" customWidth="1" min="81" max="81"/>
    <col width="4.3" customWidth="1" min="82" max="82"/>
    <col width="4.3" customWidth="1" min="83" max="83"/>
    <col width="4.3" customWidth="1" min="84" max="84"/>
    <col width="4.3" customWidth="1" min="85" max="85"/>
    <col width="4.3" customWidth="1" min="86" max="86"/>
    <col width="4.3" customWidth="1" min="87" max="87"/>
    <col width="4.3" customWidth="1" min="88" max="88"/>
    <col width="4.3" customWidth="1" min="89" max="89"/>
    <col width="4.3" customWidth="1" min="90" max="90"/>
    <col width="4.3" customWidth="1" min="91" max="91"/>
    <col width="4.3" customWidth="1" min="92" max="92"/>
    <col width="4.3" customWidth="1" min="93" max="93"/>
    <col width="4.3" customWidth="1" min="94" max="94"/>
    <col width="4.3" customWidth="1" min="95" max="95"/>
    <col width="4.3" customWidth="1" min="96" max="96"/>
    <col width="4.3" customWidth="1" min="97" max="97"/>
    <col width="4.3" customWidth="1" min="98" max="98"/>
    <col width="4.3" customWidth="1" min="99" max="99"/>
    <col width="4.3" customWidth="1" min="100" max="100"/>
    <col width="4.3" customWidth="1" min="101" max="101"/>
    <col width="4.3" customWidth="1" min="102" max="102"/>
    <col width="7" customWidth="1" min="103" max="103"/>
    <col width="7" customWidth="1" min="104" max="104"/>
    <col width="7" customWidth="1" min="105" max="105"/>
    <col width="4.3" customWidth="1" min="106" max="106"/>
    <col width="4.3" customWidth="1" min="107" max="107"/>
    <col width="4.3" customWidth="1" min="108" max="108"/>
    <col width="4.3" customWidth="1" min="109" max="109"/>
    <col width="4.3" customWidth="1" min="110" max="110"/>
    <col width="4.3" customWidth="1" min="111" max="111"/>
    <col width="4.3" customWidth="1" min="112" max="112"/>
    <col width="4.3" customWidth="1" min="113" max="113"/>
    <col width="4.3" customWidth="1" min="114" max="114"/>
    <col width="4.3" customWidth="1" min="115" max="115"/>
    <col width="4.3" customWidth="1" min="116" max="116"/>
    <col width="4.3" customWidth="1" min="117" max="117"/>
    <col width="4.3" customWidth="1" min="118" max="118"/>
    <col width="4.3" customWidth="1" min="119" max="119"/>
    <col width="4.3" customWidth="1" min="120" max="120"/>
    <col width="4.3" customWidth="1" min="121" max="121"/>
    <col width="4.3" customWidth="1" min="122" max="122"/>
    <col width="4.3" customWidth="1" min="123" max="123"/>
    <col width="4.3" customWidth="1" min="124" max="124"/>
    <col width="4.3" customWidth="1" min="125" max="125"/>
    <col width="4.3" customWidth="1" min="126" max="126"/>
    <col width="4.3" customWidth="1" min="127" max="127"/>
    <col width="4.3" customWidth="1" min="128" max="128"/>
    <col width="4.3" customWidth="1" min="129" max="129"/>
    <col width="4.3" customWidth="1" min="130" max="130"/>
    <col width="4.3" customWidth="1" min="131" max="131"/>
    <col width="4.3" customWidth="1" min="132" max="132"/>
    <col width="4.3" customWidth="1" min="133" max="133"/>
    <col width="4.3" customWidth="1" min="134" max="134"/>
    <col width="4.3" customWidth="1" min="135" max="135"/>
    <col width="4.3" customWidth="1" min="136" max="136"/>
    <col width="7" customWidth="1" min="137" max="137"/>
    <col width="7" customWidth="1" min="138" max="138"/>
    <col width="7" customWidth="1" min="139" max="139"/>
    <col width="4.3" customWidth="1" min="140" max="140"/>
    <col width="4.3" customWidth="1" min="141" max="141"/>
    <col width="4.3" customWidth="1" min="142" max="142"/>
    <col width="4.3" customWidth="1" min="143" max="143"/>
    <col width="4.3" customWidth="1" min="144" max="144"/>
    <col width="4.3" customWidth="1" min="145" max="145"/>
    <col width="4.3" customWidth="1" min="146" max="146"/>
    <col width="4.3" customWidth="1" min="147" max="147"/>
    <col width="4.3" customWidth="1" min="148" max="148"/>
    <col width="4.3" customWidth="1" min="149" max="149"/>
    <col width="4.3" customWidth="1" min="150" max="150"/>
    <col width="4.3" customWidth="1" min="151" max="151"/>
    <col width="4.3" customWidth="1" min="152" max="152"/>
    <col width="4.3" customWidth="1" min="153" max="153"/>
    <col width="4.3" customWidth="1" min="154" max="154"/>
    <col width="4.3" customWidth="1" min="155" max="155"/>
    <col width="4.3" customWidth="1" min="156" max="156"/>
    <col width="4.3" customWidth="1" min="157" max="157"/>
    <col width="4.3" customWidth="1" min="158" max="158"/>
    <col width="4.3" customWidth="1" min="159" max="159"/>
    <col width="4.3" customWidth="1" min="160" max="160"/>
    <col width="4.3" customWidth="1" min="161" max="161"/>
    <col width="4.3" customWidth="1" min="162" max="162"/>
    <col width="4.3" customWidth="1" min="163" max="163"/>
    <col width="4.3" customWidth="1" min="164" max="164"/>
    <col width="4.3" customWidth="1" min="165" max="165"/>
    <col width="4.3" customWidth="1" min="166" max="166"/>
    <col width="4.3" customWidth="1" min="167" max="167"/>
    <col width="4.3" customWidth="1" min="168" max="168"/>
    <col width="4.3" customWidth="1" min="169" max="169"/>
    <col width="4.3" customWidth="1" min="170" max="170"/>
    <col width="7" customWidth="1" min="171" max="171"/>
    <col width="7" customWidth="1" min="172" max="172"/>
    <col width="7" customWidth="1" min="173" max="173"/>
    <col width="4.3" customWidth="1" min="174" max="174"/>
    <col width="4.3" customWidth="1" min="175" max="175"/>
    <col width="4.3" customWidth="1" min="176" max="176"/>
    <col width="4.3" customWidth="1" min="177" max="177"/>
    <col width="4.3" customWidth="1" min="178" max="178"/>
    <col width="4.3" customWidth="1" min="179" max="179"/>
    <col width="4.3" customWidth="1" min="180" max="180"/>
    <col width="4.3" customWidth="1" min="181" max="181"/>
    <col width="4.3" customWidth="1" min="182" max="182"/>
    <col width="4.3" customWidth="1" min="183" max="183"/>
    <col width="4.3" customWidth="1" min="184" max="184"/>
    <col width="4.3" customWidth="1" min="185" max="185"/>
    <col width="4.3" customWidth="1" min="186" max="186"/>
    <col width="4.3" customWidth="1" min="187" max="187"/>
    <col width="4.3" customWidth="1" min="188" max="188"/>
    <col width="4.3" customWidth="1" min="189" max="189"/>
    <col width="4.3" customWidth="1" min="190" max="190"/>
    <col width="4.3" customWidth="1" min="191" max="191"/>
    <col width="4.3" customWidth="1" min="192" max="192"/>
    <col width="4.3" customWidth="1" min="193" max="193"/>
    <col width="4.3" customWidth="1" min="194" max="194"/>
    <col width="4.3" customWidth="1" min="195" max="195"/>
    <col width="4.3" customWidth="1" min="196" max="196"/>
    <col width="4.3" customWidth="1" min="197" max="197"/>
    <col width="4.3" customWidth="1" min="198" max="198"/>
    <col width="4.3" customWidth="1" min="199" max="199"/>
    <col width="4.3" customWidth="1" min="200" max="200"/>
    <col width="4.3" customWidth="1" min="201" max="201"/>
    <col width="4.3" customWidth="1" min="202" max="202"/>
    <col width="4.3" customWidth="1" min="203" max="203"/>
    <col width="4.3" customWidth="1" min="204" max="204"/>
    <col width="7" customWidth="1" min="205" max="205"/>
    <col width="7" customWidth="1" min="206" max="206"/>
    <col width="7" customWidth="1" min="207" max="207"/>
  </cols>
  <sheetData>
    <row r="1" ht="48" customHeight="1">
      <c r="A1" s="677" t="inlineStr">
        <is>
          <t>🏠</t>
        </is>
      </c>
      <c r="B1" s="678" t="n"/>
      <c r="C1" s="678" t="n"/>
      <c r="D1" s="678" t="n"/>
      <c r="E1" s="678" t="n"/>
      <c r="F1" s="678" t="n"/>
      <c r="G1" s="678" t="n"/>
      <c r="H1" s="678" t="n"/>
      <c r="I1" s="678" t="n"/>
      <c r="J1" s="678" t="n"/>
      <c r="K1" s="678" t="n"/>
      <c r="L1" s="678" t="n"/>
      <c r="M1" s="678" t="n"/>
      <c r="N1" s="678" t="n"/>
      <c r="O1" s="678" t="n"/>
      <c r="P1" s="678" t="n"/>
      <c r="Q1" s="678" t="n"/>
      <c r="R1" s="678" t="n"/>
      <c r="S1" s="678" t="n"/>
      <c r="T1" s="678" t="n"/>
      <c r="U1" s="678" t="n"/>
      <c r="V1" s="678" t="n"/>
      <c r="W1" s="678" t="n"/>
      <c r="X1" s="678" t="n"/>
      <c r="Y1" s="678" t="n"/>
      <c r="Z1" s="678" t="n"/>
      <c r="AA1" s="678" t="n"/>
      <c r="AB1" s="678" t="n"/>
      <c r="AC1" s="678" t="n"/>
      <c r="AD1" s="678" t="n"/>
      <c r="AE1" s="678" t="n"/>
      <c r="AF1" s="678" t="n"/>
      <c r="AG1" s="678" t="n"/>
      <c r="AH1" s="678" t="n"/>
      <c r="AI1" s="678" t="n"/>
      <c r="AJ1" s="678" t="n"/>
      <c r="AK1" s="678" t="n"/>
      <c r="AL1" s="678" t="n"/>
      <c r="AM1" s="678" t="n"/>
      <c r="AN1" s="678" t="n"/>
      <c r="AO1" s="678" t="n"/>
      <c r="AP1" s="678" t="n"/>
      <c r="AQ1" s="678" t="n"/>
      <c r="AR1" s="678" t="n"/>
      <c r="AS1" s="678" t="n"/>
      <c r="AT1" s="678" t="n"/>
      <c r="AU1" s="678" t="n"/>
      <c r="AV1" s="678" t="n"/>
      <c r="AW1" s="678" t="n"/>
      <c r="AX1" s="678" t="n"/>
      <c r="AY1" s="678" t="n"/>
      <c r="AZ1" s="678" t="n"/>
      <c r="BA1" s="678" t="n"/>
      <c r="BB1" s="678" t="n"/>
      <c r="BC1" s="678" t="n"/>
      <c r="BD1" s="678" t="n"/>
      <c r="BE1" s="678" t="n"/>
      <c r="BF1" s="678" t="n"/>
      <c r="BG1" s="678" t="n"/>
      <c r="BH1" s="678" t="n"/>
      <c r="BI1" s="678" t="n"/>
      <c r="BJ1" s="678" t="n"/>
      <c r="BK1" s="678" t="n"/>
      <c r="BL1" s="678" t="n"/>
      <c r="BM1" s="678" t="n"/>
      <c r="BN1" s="678" t="n"/>
      <c r="BO1" s="678" t="n"/>
      <c r="BP1" s="678" t="n"/>
      <c r="BQ1" s="678" t="n"/>
      <c r="BR1" s="678" t="n"/>
      <c r="BS1" s="678" t="n"/>
      <c r="BT1" s="678" t="n"/>
      <c r="BU1" s="678" t="n"/>
      <c r="BV1" s="678" t="n"/>
      <c r="BW1" s="678" t="n"/>
      <c r="BX1" s="678" t="n"/>
      <c r="BY1" s="678" t="n"/>
      <c r="BZ1" s="678" t="n"/>
      <c r="CA1" s="678" t="n"/>
      <c r="CB1" s="678" t="n"/>
      <c r="CC1" s="678" t="n"/>
      <c r="CD1" s="678" t="n"/>
      <c r="CE1" s="678" t="n"/>
      <c r="CF1" s="678" t="n"/>
      <c r="CG1" s="678" t="n"/>
      <c r="CH1" s="678" t="n"/>
      <c r="CI1" s="678" t="n"/>
      <c r="CJ1" s="678" t="n"/>
      <c r="CK1" s="678" t="n"/>
      <c r="CL1" s="678" t="n"/>
      <c r="CM1" s="678" t="n"/>
      <c r="CN1" s="678" t="n"/>
      <c r="CO1" s="678" t="n"/>
      <c r="CP1" s="678" t="n"/>
      <c r="CQ1" s="678" t="n"/>
      <c r="CR1" s="678" t="n"/>
      <c r="CS1" s="678" t="n"/>
      <c r="CT1" s="678" t="n"/>
      <c r="CU1" s="678" t="n"/>
      <c r="CV1" s="678" t="n"/>
      <c r="CW1" s="678" t="n"/>
      <c r="CX1" s="678" t="n"/>
      <c r="CY1" s="678" t="n"/>
      <c r="CZ1" s="678" t="n"/>
      <c r="DA1" s="678" t="n"/>
      <c r="DB1" s="678" t="n"/>
      <c r="DC1" s="678" t="n"/>
      <c r="DD1" s="678" t="n"/>
      <c r="DE1" s="678" t="n"/>
      <c r="DF1" s="678" t="n"/>
      <c r="DG1" s="678" t="n"/>
      <c r="DH1" s="678" t="n"/>
      <c r="DI1" s="678" t="n"/>
      <c r="DJ1" s="678" t="n"/>
      <c r="DK1" s="678" t="n"/>
      <c r="DL1" s="678" t="n"/>
      <c r="DM1" s="678" t="n"/>
      <c r="DN1" s="678" t="n"/>
      <c r="DO1" s="678" t="n"/>
      <c r="DP1" s="678" t="n"/>
      <c r="DQ1" s="678" t="n"/>
      <c r="DR1" s="678" t="n"/>
      <c r="DS1" s="678" t="n"/>
      <c r="DT1" s="678" t="n"/>
      <c r="DU1" s="678" t="n"/>
      <c r="DV1" s="678" t="n"/>
      <c r="DW1" s="678" t="n"/>
      <c r="DX1" s="678" t="n"/>
      <c r="DY1" s="678" t="n"/>
      <c r="DZ1" s="678" t="n"/>
      <c r="EA1" s="678" t="n"/>
      <c r="EB1" s="678" t="n"/>
      <c r="EC1" s="678" t="n"/>
      <c r="ED1" s="678" t="n"/>
      <c r="EE1" s="678" t="n"/>
      <c r="EF1" s="678" t="n"/>
      <c r="EG1" s="678" t="n"/>
      <c r="EH1" s="678" t="n"/>
      <c r="EI1" s="678" t="n"/>
      <c r="EJ1" s="678" t="n"/>
      <c r="EK1" s="678" t="n"/>
      <c r="EL1" s="678" t="n"/>
      <c r="EM1" s="678" t="n"/>
      <c r="EN1" s="678" t="n"/>
      <c r="EO1" s="678" t="n"/>
      <c r="EP1" s="678" t="n"/>
      <c r="EQ1" s="678" t="n"/>
      <c r="ER1" s="678" t="n"/>
      <c r="ES1" s="678" t="n"/>
      <c r="ET1" s="678" t="n"/>
      <c r="EU1" s="678" t="n"/>
      <c r="EV1" s="678" t="n"/>
      <c r="EW1" s="678" t="n"/>
      <c r="EX1" s="678" t="n"/>
      <c r="EY1" s="678" t="n"/>
      <c r="EZ1" s="678" t="n"/>
      <c r="FA1" s="678" t="n"/>
      <c r="FB1" s="678" t="n"/>
      <c r="FC1" s="678" t="n"/>
      <c r="FD1" s="678" t="n"/>
      <c r="FE1" s="678" t="n"/>
      <c r="FF1" s="678" t="n"/>
      <c r="FG1" s="678" t="n"/>
      <c r="FH1" s="678" t="n"/>
      <c r="FI1" s="678" t="n"/>
      <c r="FJ1" s="678" t="n"/>
      <c r="FK1" s="678" t="n"/>
      <c r="FL1" s="678" t="n"/>
      <c r="FM1" s="678" t="n"/>
      <c r="FN1" s="678" t="n"/>
      <c r="FO1" s="678" t="n"/>
      <c r="FP1" s="678" t="n"/>
      <c r="FQ1" s="678" t="n"/>
      <c r="FR1" s="678" t="n"/>
      <c r="FS1" s="678" t="n"/>
      <c r="FT1" s="678" t="n"/>
      <c r="FU1" s="678" t="n"/>
      <c r="FV1" s="678" t="n"/>
      <c r="FW1" s="678" t="n"/>
      <c r="FX1" s="678" t="n"/>
      <c r="FY1" s="678" t="n"/>
      <c r="FZ1" s="678" t="n"/>
      <c r="GA1" s="678" t="n"/>
      <c r="GB1" s="678" t="n"/>
      <c r="GC1" s="678" t="n"/>
      <c r="GD1" s="678" t="n"/>
      <c r="GE1" s="678" t="n"/>
      <c r="GF1" s="678" t="n"/>
      <c r="GG1" s="678" t="n"/>
      <c r="GH1" s="678" t="n"/>
      <c r="GI1" s="678" t="n"/>
      <c r="GJ1" s="678" t="n"/>
      <c r="GK1" s="678" t="n"/>
      <c r="GL1" s="678" t="n"/>
      <c r="GM1" s="678" t="n"/>
      <c r="GN1" s="678" t="n"/>
      <c r="GO1" s="678" t="n"/>
      <c r="GP1" s="678" t="n"/>
      <c r="GQ1" s="678" t="n"/>
      <c r="GR1" s="678" t="n"/>
      <c r="GS1" s="678" t="n"/>
      <c r="GT1" s="678" t="n"/>
      <c r="GU1" s="678" t="n"/>
      <c r="GV1" s="678" t="n"/>
      <c r="GW1" s="678" t="n"/>
      <c r="GX1" s="678" t="n"/>
      <c r="GY1" s="678" t="n"/>
    </row>
    <row r="2" ht="20" customHeight="1">
      <c r="A2" s="679" t="inlineStr">
        <is>
          <t>หน้าหลัก</t>
        </is>
      </c>
      <c r="B2" s="68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81" t="n"/>
      <c r="D2" s="681" t="n"/>
      <c r="E2" s="681" t="n"/>
      <c r="F2" s="681" t="n"/>
      <c r="G2" s="681" t="n"/>
      <c r="H2" s="681" t="n"/>
      <c r="I2" s="681" t="n"/>
      <c r="J2" s="681" t="n"/>
      <c r="K2" s="681" t="n"/>
      <c r="L2" s="681" t="n"/>
      <c r="M2" s="681" t="n"/>
      <c r="N2" s="681" t="n"/>
      <c r="O2" s="681" t="n"/>
      <c r="P2" s="681" t="n"/>
      <c r="Q2" s="681" t="n"/>
      <c r="R2" s="681" t="n"/>
      <c r="S2" s="681" t="n"/>
      <c r="T2" s="681" t="n"/>
      <c r="U2" s="681" t="n"/>
      <c r="V2" s="681" t="n"/>
      <c r="W2" s="681" t="n"/>
      <c r="X2" s="681" t="n"/>
      <c r="Y2" s="681" t="n"/>
      <c r="Z2" s="681" t="n"/>
      <c r="AA2" s="681" t="n"/>
      <c r="AB2" s="681" t="n"/>
      <c r="AC2" s="681" t="n"/>
      <c r="AD2" s="681" t="n"/>
      <c r="AE2" s="681" t="n"/>
      <c r="AF2" s="681" t="n"/>
      <c r="AG2" s="681" t="n"/>
      <c r="AH2" s="681" t="n"/>
      <c r="AI2" s="681" t="n"/>
      <c r="AJ2" s="681" t="n"/>
      <c r="AK2" s="681" t="n"/>
      <c r="AL2" s="681" t="n"/>
      <c r="AM2" s="681" t="n"/>
      <c r="AN2" s="681" t="n"/>
      <c r="AO2" s="681" t="n"/>
      <c r="AP2" s="681" t="n"/>
      <c r="AQ2" s="681" t="n"/>
      <c r="AR2" s="681" t="n"/>
      <c r="AS2" s="681" t="n"/>
      <c r="AT2" s="681" t="n"/>
      <c r="AU2" s="681" t="n"/>
      <c r="AV2" s="681" t="n"/>
      <c r="AW2" s="681" t="n"/>
      <c r="AX2" s="681" t="n"/>
      <c r="AY2" s="681" t="n"/>
      <c r="AZ2" s="681" t="n"/>
      <c r="BA2" s="681" t="n"/>
      <c r="BB2" s="681" t="n"/>
      <c r="BC2" s="681" t="n"/>
      <c r="BD2" s="681" t="n"/>
      <c r="BE2" s="681" t="n"/>
      <c r="BF2" s="681" t="n"/>
      <c r="BG2" s="681" t="n"/>
      <c r="BH2" s="681" t="n"/>
      <c r="BI2" s="681" t="n"/>
      <c r="BJ2" s="681" t="n"/>
      <c r="BK2" s="681" t="n"/>
      <c r="BL2" s="681" t="n"/>
      <c r="BM2" s="681" t="n"/>
      <c r="BN2" s="681" t="n"/>
      <c r="BO2" s="681" t="n"/>
      <c r="BP2" s="681" t="n"/>
      <c r="BQ2" s="681" t="n"/>
      <c r="BR2" s="681" t="n"/>
      <c r="BS2" s="681" t="n"/>
      <c r="BT2" s="681" t="n"/>
      <c r="BU2" s="681" t="n"/>
      <c r="BV2" s="681" t="n"/>
      <c r="BW2" s="681" t="n"/>
      <c r="BX2" s="681" t="n"/>
      <c r="BY2" s="681" t="n"/>
      <c r="BZ2" s="681" t="n"/>
      <c r="CA2" s="681" t="n"/>
      <c r="CB2" s="681" t="n"/>
      <c r="CC2" s="681" t="n"/>
      <c r="CD2" s="681" t="n"/>
      <c r="CE2" s="681" t="n"/>
      <c r="CF2" s="681" t="n"/>
      <c r="CG2" s="681" t="n"/>
      <c r="CH2" s="681" t="n"/>
      <c r="CI2" s="681" t="n"/>
      <c r="CJ2" s="681" t="n"/>
      <c r="CK2" s="681" t="n"/>
      <c r="CL2" s="681" t="n"/>
      <c r="CM2" s="681" t="n"/>
      <c r="CN2" s="681" t="n"/>
      <c r="CO2" s="681" t="n"/>
      <c r="CP2" s="681" t="n"/>
      <c r="CQ2" s="681" t="n"/>
      <c r="CR2" s="681" t="n"/>
      <c r="CS2" s="681" t="n"/>
      <c r="CT2" s="681" t="n"/>
      <c r="CU2" s="681" t="n"/>
      <c r="CV2" s="681" t="n"/>
      <c r="CW2" s="681" t="n"/>
      <c r="CX2" s="681" t="n"/>
      <c r="CY2" s="681" t="n"/>
      <c r="CZ2" s="681" t="n"/>
      <c r="DA2" s="681" t="n"/>
      <c r="DB2" s="681" t="n"/>
      <c r="DC2" s="681" t="n"/>
      <c r="DD2" s="681" t="n"/>
      <c r="DE2" s="681" t="n"/>
      <c r="DF2" s="681" t="n"/>
      <c r="DG2" s="681" t="n"/>
      <c r="DH2" s="681" t="n"/>
      <c r="DI2" s="681" t="n"/>
      <c r="DJ2" s="681" t="n"/>
      <c r="DK2" s="681" t="n"/>
      <c r="DL2" s="681" t="n"/>
      <c r="DM2" s="681" t="n"/>
      <c r="DN2" s="681" t="n"/>
      <c r="DO2" s="681" t="n"/>
      <c r="DP2" s="681" t="n"/>
      <c r="DQ2" s="681" t="n"/>
      <c r="DR2" s="681" t="n"/>
      <c r="DS2" s="681" t="n"/>
      <c r="DT2" s="681" t="n"/>
      <c r="DU2" s="681" t="n"/>
      <c r="DV2" s="681" t="n"/>
      <c r="DW2" s="681" t="n"/>
      <c r="DX2" s="681" t="n"/>
      <c r="DY2" s="681" t="n"/>
      <c r="DZ2" s="681" t="n"/>
      <c r="EA2" s="681" t="n"/>
      <c r="EB2" s="681" t="n"/>
      <c r="EC2" s="681" t="n"/>
      <c r="ED2" s="681" t="n"/>
      <c r="EE2" s="681" t="n"/>
      <c r="EF2" s="681" t="n"/>
      <c r="EG2" s="681" t="n"/>
      <c r="EH2" s="681" t="n"/>
      <c r="EI2" s="681" t="n"/>
      <c r="EJ2" s="681" t="n"/>
      <c r="EK2" s="681" t="n"/>
      <c r="EL2" s="681" t="n"/>
      <c r="EM2" s="681" t="n"/>
      <c r="EN2" s="681" t="n"/>
      <c r="EO2" s="681" t="n"/>
      <c r="EP2" s="681" t="n"/>
      <c r="EQ2" s="681" t="n"/>
      <c r="ER2" s="681" t="n"/>
      <c r="ES2" s="681" t="n"/>
      <c r="ET2" s="681" t="n"/>
      <c r="EU2" s="681" t="n"/>
      <c r="EV2" s="681" t="n"/>
      <c r="EW2" s="681" t="n"/>
      <c r="EX2" s="681" t="n"/>
      <c r="EY2" s="681" t="n"/>
      <c r="EZ2" s="681" t="n"/>
      <c r="FA2" s="681" t="n"/>
      <c r="FB2" s="681" t="n"/>
      <c r="FC2" s="681" t="n"/>
      <c r="FD2" s="681" t="n"/>
      <c r="FE2" s="681" t="n"/>
      <c r="FF2" s="681" t="n"/>
      <c r="FG2" s="681" t="n"/>
      <c r="FH2" s="681" t="n"/>
      <c r="FI2" s="681" t="n"/>
      <c r="FJ2" s="681" t="n"/>
      <c r="FK2" s="681" t="n"/>
      <c r="FL2" s="681" t="n"/>
      <c r="FM2" s="681" t="n"/>
      <c r="FN2" s="681" t="n"/>
      <c r="FO2" s="681" t="n"/>
      <c r="FP2" s="681" t="n"/>
      <c r="FQ2" s="681" t="n"/>
      <c r="FR2" s="681" t="n"/>
      <c r="FS2" s="681" t="n"/>
      <c r="FT2" s="681" t="n"/>
      <c r="FU2" s="681" t="n"/>
      <c r="FV2" s="681" t="n"/>
      <c r="FW2" s="681" t="n"/>
      <c r="FX2" s="681" t="n"/>
      <c r="FY2" s="681" t="n"/>
      <c r="FZ2" s="681" t="n"/>
      <c r="GA2" s="681" t="n"/>
      <c r="GB2" s="681" t="n"/>
      <c r="GC2" s="681" t="n"/>
      <c r="GD2" s="681" t="n"/>
      <c r="GE2" s="681" t="n"/>
      <c r="GF2" s="681" t="n"/>
      <c r="GG2" s="681" t="n"/>
      <c r="GH2" s="681" t="n"/>
      <c r="GI2" s="681" t="n"/>
      <c r="GJ2" s="681" t="n"/>
      <c r="GK2" s="681" t="n"/>
      <c r="GL2" s="681" t="n"/>
      <c r="GM2" s="681" t="n"/>
      <c r="GN2" s="681" t="n"/>
      <c r="GO2" s="681" t="n"/>
      <c r="GP2" s="681" t="n"/>
      <c r="GQ2" s="681" t="n"/>
      <c r="GR2" s="681" t="n"/>
      <c r="GS2" s="681" t="n"/>
      <c r="GT2" s="681" t="n"/>
      <c r="GU2" s="681" t="n"/>
      <c r="GV2" s="681" t="n"/>
      <c r="GW2" s="681" t="n"/>
      <c r="GX2" s="681" t="n"/>
      <c r="GY2" s="681" t="n"/>
    </row>
    <row r="3" ht="18" customHeight="1">
      <c r="B3" s="682" t="inlineStr">
        <is>
          <t>ใส่จำนวนเงินฝาก (บาท) ในวันที่นักเรียนฝาก   •   การถอนเงินบันทึกในหน้า “ถอนเงิน”   •   ยอดคงเหลือคำนวณให้อัตโนมัติ</t>
        </is>
      </c>
    </row>
    <row r="4" hidden="1">
      <c r="D4">
        <f>'ปฏิทิน'!D2</f>
        <v/>
      </c>
      <c r="E4">
        <f>'ปฏิทิน'!E2</f>
        <v/>
      </c>
      <c r="F4">
        <f>'ปฏิทิน'!F2</f>
        <v/>
      </c>
      <c r="G4">
        <f>'ปฏิทิน'!G2</f>
        <v/>
      </c>
      <c r="H4">
        <f>'ปฏิทิน'!H2</f>
        <v/>
      </c>
      <c r="I4">
        <f>'ปฏิทิน'!I2</f>
        <v/>
      </c>
      <c r="J4">
        <f>'ปฏิทิน'!J2</f>
        <v/>
      </c>
      <c r="K4">
        <f>'ปฏิทิน'!K2</f>
        <v/>
      </c>
      <c r="L4">
        <f>'ปฏิทิน'!L2</f>
        <v/>
      </c>
      <c r="M4">
        <f>'ปฏิทิน'!M2</f>
        <v/>
      </c>
      <c r="N4">
        <f>'ปฏิทิน'!N2</f>
        <v/>
      </c>
      <c r="O4">
        <f>'ปฏิทิน'!O2</f>
        <v/>
      </c>
      <c r="P4">
        <f>'ปฏิทิน'!P2</f>
        <v/>
      </c>
      <c r="Q4">
        <f>'ปฏิทิน'!Q2</f>
        <v/>
      </c>
      <c r="R4">
        <f>'ปฏิทิน'!R2</f>
        <v/>
      </c>
      <c r="S4">
        <f>'ปฏิทิน'!S2</f>
        <v/>
      </c>
      <c r="T4">
        <f>'ปฏิทิน'!T2</f>
        <v/>
      </c>
      <c r="U4">
        <f>'ปฏิทิน'!U2</f>
        <v/>
      </c>
      <c r="V4">
        <f>'ปฏิทิน'!V2</f>
        <v/>
      </c>
      <c r="W4">
        <f>'ปฏิทิน'!W2</f>
        <v/>
      </c>
      <c r="X4">
        <f>'ปฏิทิน'!X2</f>
        <v/>
      </c>
      <c r="Y4">
        <f>'ปฏิทิน'!Y2</f>
        <v/>
      </c>
      <c r="Z4">
        <f>'ปฏิทิน'!Z2</f>
        <v/>
      </c>
      <c r="AA4">
        <f>'ปฏิทิน'!AA2</f>
        <v/>
      </c>
      <c r="AB4">
        <f>'ปฏิทิน'!AB2</f>
        <v/>
      </c>
      <c r="AC4">
        <f>'ปฏิทิน'!AC2</f>
        <v/>
      </c>
      <c r="AD4">
        <f>'ปฏิทิน'!AD2</f>
        <v/>
      </c>
      <c r="AE4">
        <f>'ปฏิทิน'!AE2</f>
        <v/>
      </c>
      <c r="AF4">
        <f>'ปฏิทิน'!AF2</f>
        <v/>
      </c>
      <c r="AG4">
        <f>'ปฏิทิน'!AG2</f>
        <v/>
      </c>
      <c r="AH4">
        <f>'ปฏิทิน'!AH2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'ปฏิทิน'!AL2</f>
        <v/>
      </c>
      <c r="AM4">
        <f>'ปฏิทิน'!AM2</f>
        <v/>
      </c>
      <c r="AN4">
        <f>'ปฏิทิน'!AN2</f>
        <v/>
      </c>
      <c r="AO4">
        <f>'ปฏิทิน'!AO2</f>
        <v/>
      </c>
      <c r="AP4">
        <f>'ปฏิทิน'!AP2</f>
        <v/>
      </c>
      <c r="AQ4">
        <f>'ปฏิทิน'!AQ2</f>
        <v/>
      </c>
      <c r="AR4">
        <f>'ปฏิทิน'!AR2</f>
        <v/>
      </c>
      <c r="AS4">
        <f>'ปฏิทิน'!AS2</f>
        <v/>
      </c>
      <c r="AT4">
        <f>'ปฏิทิน'!AT2</f>
        <v/>
      </c>
      <c r="AU4">
        <f>'ปฏิทิน'!AU2</f>
        <v/>
      </c>
      <c r="AV4">
        <f>'ปฏิทิน'!AV2</f>
        <v/>
      </c>
      <c r="AW4">
        <f>'ปฏิทิน'!AW2</f>
        <v/>
      </c>
      <c r="AX4">
        <f>'ปฏิทิน'!AX2</f>
        <v/>
      </c>
      <c r="AY4">
        <f>'ปฏิทิน'!AY2</f>
        <v/>
      </c>
      <c r="AZ4">
        <f>'ปฏิทิน'!AZ2</f>
        <v/>
      </c>
      <c r="BA4">
        <f>'ปฏิทิน'!BA2</f>
        <v/>
      </c>
      <c r="BB4">
        <f>'ปฏิทิน'!BB2</f>
        <v/>
      </c>
      <c r="BC4">
        <f>'ปฏิทิน'!BC2</f>
        <v/>
      </c>
      <c r="BD4">
        <f>'ปฏิทิน'!BD2</f>
        <v/>
      </c>
      <c r="BE4">
        <f>'ปฏิทิน'!BE2</f>
        <v/>
      </c>
      <c r="BF4">
        <f>'ปฏิทิน'!BF2</f>
        <v/>
      </c>
      <c r="BG4">
        <f>'ปฏิทิน'!BG2</f>
        <v/>
      </c>
      <c r="BH4">
        <f>'ปฏิทิน'!BH2</f>
        <v/>
      </c>
      <c r="BI4">
        <f>'ปฏิทิน'!BI2</f>
        <v/>
      </c>
      <c r="BJ4">
        <f>'ปฏิทิน'!BJ2</f>
        <v/>
      </c>
      <c r="BK4">
        <f>'ปฏิทิน'!BK2</f>
        <v/>
      </c>
      <c r="BL4">
        <f>'ปฏิทิน'!BL2</f>
        <v/>
      </c>
      <c r="BM4">
        <f>'ปฏิทิน'!BM2</f>
        <v/>
      </c>
      <c r="BN4">
        <f>'ปฏิทิน'!BN2</f>
        <v/>
      </c>
      <c r="BO4">
        <f>'ปฏิทิน'!BO2</f>
        <v/>
      </c>
      <c r="BP4">
        <f>'ปฏิทิน'!BP2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'ปฏิทิน'!BT2</f>
        <v/>
      </c>
      <c r="BU4">
        <f>'ปฏิทิน'!BU2</f>
        <v/>
      </c>
      <c r="BV4">
        <f>'ปฏิทิน'!BV2</f>
        <v/>
      </c>
      <c r="BW4">
        <f>'ปฏิทิน'!BW2</f>
        <v/>
      </c>
      <c r="BX4">
        <f>'ปฏิทิน'!BX2</f>
        <v/>
      </c>
      <c r="BY4">
        <f>'ปฏิทิน'!BY2</f>
        <v/>
      </c>
      <c r="BZ4">
        <f>'ปฏิทิน'!BZ2</f>
        <v/>
      </c>
      <c r="CA4">
        <f>'ปฏิทิน'!CA2</f>
        <v/>
      </c>
      <c r="CB4">
        <f>'ปฏิทิน'!CB2</f>
        <v/>
      </c>
      <c r="CC4">
        <f>'ปฏิทิน'!CC2</f>
        <v/>
      </c>
      <c r="CD4">
        <f>'ปฏิทิน'!CD2</f>
        <v/>
      </c>
      <c r="CE4">
        <f>'ปฏิทิน'!CE2</f>
        <v/>
      </c>
      <c r="CF4">
        <f>'ปฏิทิน'!CF2</f>
        <v/>
      </c>
      <c r="CG4">
        <f>'ปฏิทิน'!CG2</f>
        <v/>
      </c>
      <c r="CH4">
        <f>'ปฏิทิน'!CH2</f>
        <v/>
      </c>
      <c r="CI4">
        <f>'ปฏิทิน'!CI2</f>
        <v/>
      </c>
      <c r="CJ4">
        <f>'ปฏิทิน'!CJ2</f>
        <v/>
      </c>
      <c r="CK4">
        <f>'ปฏิทิน'!CK2</f>
        <v/>
      </c>
      <c r="CL4">
        <f>'ปฏิทิน'!CL2</f>
        <v/>
      </c>
      <c r="CM4">
        <f>'ปฏิทิน'!CM2</f>
        <v/>
      </c>
      <c r="CN4">
        <f>'ปฏิทิน'!CN2</f>
        <v/>
      </c>
      <c r="CO4">
        <f>'ปฏิทิน'!CO2</f>
        <v/>
      </c>
      <c r="CP4">
        <f>'ปฏิทิน'!CP2</f>
        <v/>
      </c>
      <c r="CQ4">
        <f>'ปฏิทิน'!CQ2</f>
        <v/>
      </c>
      <c r="CR4">
        <f>'ปฏิทิน'!CR2</f>
        <v/>
      </c>
      <c r="CS4">
        <f>'ปฏิทิน'!CS2</f>
        <v/>
      </c>
      <c r="CT4">
        <f>'ปฏิทิน'!CT2</f>
        <v/>
      </c>
      <c r="CU4">
        <f>'ปฏิทิน'!CU2</f>
        <v/>
      </c>
      <c r="CV4">
        <f>'ปฏิทิน'!CV2</f>
        <v/>
      </c>
      <c r="CW4">
        <f>'ปฏิทิน'!CW2</f>
        <v/>
      </c>
      <c r="CX4">
        <f>'ปฏิทิน'!CX2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'ปฏิทิน'!DB2</f>
        <v/>
      </c>
      <c r="DC4">
        <f>'ปฏิทิน'!DC2</f>
        <v/>
      </c>
      <c r="DD4">
        <f>'ปฏิทิน'!DD2</f>
        <v/>
      </c>
      <c r="DE4">
        <f>'ปฏิทิน'!DE2</f>
        <v/>
      </c>
      <c r="DF4">
        <f>'ปฏิทิน'!DF2</f>
        <v/>
      </c>
      <c r="DG4">
        <f>'ปฏิทิน'!DG2</f>
        <v/>
      </c>
      <c r="DH4">
        <f>'ปฏิทิน'!DH2</f>
        <v/>
      </c>
      <c r="DI4">
        <f>'ปฏิทิน'!DI2</f>
        <v/>
      </c>
      <c r="DJ4">
        <f>'ปฏิทิน'!DJ2</f>
        <v/>
      </c>
      <c r="DK4">
        <f>'ปฏิทิน'!DK2</f>
        <v/>
      </c>
      <c r="DL4">
        <f>'ปฏิทิน'!DL2</f>
        <v/>
      </c>
      <c r="DM4">
        <f>'ปฏิทิน'!DM2</f>
        <v/>
      </c>
      <c r="DN4">
        <f>'ปฏิทิน'!DN2</f>
        <v/>
      </c>
      <c r="DO4">
        <f>'ปฏิทิน'!DO2</f>
        <v/>
      </c>
      <c r="DP4">
        <f>'ปฏิทิน'!DP2</f>
        <v/>
      </c>
      <c r="DQ4">
        <f>'ปฏิทิน'!DQ2</f>
        <v/>
      </c>
      <c r="DR4">
        <f>'ปฏิทิน'!DR2</f>
        <v/>
      </c>
      <c r="DS4">
        <f>'ปฏิทิน'!DS2</f>
        <v/>
      </c>
      <c r="DT4">
        <f>'ปฏิทิน'!DT2</f>
        <v/>
      </c>
      <c r="DU4">
        <f>'ปฏิทิน'!DU2</f>
        <v/>
      </c>
      <c r="DV4">
        <f>'ปฏิทิน'!DV2</f>
        <v/>
      </c>
      <c r="DW4">
        <f>'ปฏิทิน'!DW2</f>
        <v/>
      </c>
      <c r="DX4">
        <f>'ปฏิทิน'!DX2</f>
        <v/>
      </c>
      <c r="DY4">
        <f>'ปฏิทิน'!DY2</f>
        <v/>
      </c>
      <c r="DZ4">
        <f>'ปฏิทิน'!DZ2</f>
        <v/>
      </c>
      <c r="EA4">
        <f>'ปฏิทิน'!EA2</f>
        <v/>
      </c>
      <c r="EB4">
        <f>'ปฏิทิน'!EB2</f>
        <v/>
      </c>
      <c r="EC4">
        <f>'ปฏิทิน'!EC2</f>
        <v/>
      </c>
      <c r="ED4">
        <f>'ปฏิทิน'!ED2</f>
        <v/>
      </c>
      <c r="EE4">
        <f>'ปฏิทิน'!EE2</f>
        <v/>
      </c>
      <c r="EF4">
        <f>'ปฏิทิน'!EF2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'ปฏิทิน'!EJ2</f>
        <v/>
      </c>
      <c r="EK4">
        <f>'ปฏิทิน'!EK2</f>
        <v/>
      </c>
      <c r="EL4">
        <f>'ปฏิทิน'!EL2</f>
        <v/>
      </c>
      <c r="EM4">
        <f>'ปฏิทิน'!EM2</f>
        <v/>
      </c>
      <c r="EN4">
        <f>'ปฏิทิน'!EN2</f>
        <v/>
      </c>
      <c r="EO4">
        <f>'ปฏิทิน'!EO2</f>
        <v/>
      </c>
      <c r="EP4">
        <f>'ปฏิทิน'!EP2</f>
        <v/>
      </c>
      <c r="EQ4">
        <f>'ปฏิทิน'!EQ2</f>
        <v/>
      </c>
      <c r="ER4">
        <f>'ปฏิทิน'!ER2</f>
        <v/>
      </c>
      <c r="ES4">
        <f>'ปฏิทิน'!ES2</f>
        <v/>
      </c>
      <c r="ET4">
        <f>'ปฏิทิน'!ET2</f>
        <v/>
      </c>
      <c r="EU4">
        <f>'ปฏิทิน'!EU2</f>
        <v/>
      </c>
      <c r="EV4">
        <f>'ปฏิทิน'!EV2</f>
        <v/>
      </c>
      <c r="EW4">
        <f>'ปฏิทิน'!EW2</f>
        <v/>
      </c>
      <c r="EX4">
        <f>'ปฏิทิน'!EX2</f>
        <v/>
      </c>
      <c r="EY4">
        <f>'ปฏิทิน'!EY2</f>
        <v/>
      </c>
      <c r="EZ4">
        <f>'ปฏิทิน'!EZ2</f>
        <v/>
      </c>
      <c r="FA4">
        <f>'ปฏิทิน'!FA2</f>
        <v/>
      </c>
      <c r="FB4">
        <f>'ปฏิทิน'!FB2</f>
        <v/>
      </c>
      <c r="FC4">
        <f>'ปฏิทิน'!FC2</f>
        <v/>
      </c>
      <c r="FD4">
        <f>'ปฏิทิน'!FD2</f>
        <v/>
      </c>
      <c r="FE4">
        <f>'ปฏิทิน'!FE2</f>
        <v/>
      </c>
      <c r="FF4">
        <f>'ปฏิทิน'!FF2</f>
        <v/>
      </c>
      <c r="FG4">
        <f>'ปฏิทิน'!FG2</f>
        <v/>
      </c>
      <c r="FH4">
        <f>'ปฏิทิน'!FH2</f>
        <v/>
      </c>
      <c r="FI4">
        <f>'ปฏิทิน'!FI2</f>
        <v/>
      </c>
      <c r="FJ4">
        <f>'ปฏิทิน'!FJ2</f>
        <v/>
      </c>
      <c r="FK4">
        <f>'ปฏิทิน'!FK2</f>
        <v/>
      </c>
      <c r="FL4">
        <f>'ปฏิทิน'!FL2</f>
        <v/>
      </c>
      <c r="FM4">
        <f>'ปฏิทิน'!FM2</f>
        <v/>
      </c>
      <c r="FN4">
        <f>'ปฏิทิน'!FN2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  <c r="FR4">
        <f>'ปฏิทิน'!FR2</f>
        <v/>
      </c>
      <c r="FS4">
        <f>'ปฏิทิน'!FS2</f>
        <v/>
      </c>
      <c r="FT4">
        <f>'ปฏิทิน'!FT2</f>
        <v/>
      </c>
      <c r="FU4">
        <f>'ปฏิทิน'!FU2</f>
        <v/>
      </c>
      <c r="FV4">
        <f>'ปฏิทิน'!FV2</f>
        <v/>
      </c>
      <c r="FW4">
        <f>'ปฏิทิน'!FW2</f>
        <v/>
      </c>
      <c r="FX4">
        <f>'ปฏิทิน'!FX2</f>
        <v/>
      </c>
      <c r="FY4">
        <f>'ปฏิทิน'!FY2</f>
        <v/>
      </c>
      <c r="FZ4">
        <f>'ปฏิทิน'!FZ2</f>
        <v/>
      </c>
      <c r="GA4">
        <f>'ปฏิทิน'!GA2</f>
        <v/>
      </c>
      <c r="GB4">
        <f>'ปฏิทิน'!GB2</f>
        <v/>
      </c>
      <c r="GC4">
        <f>'ปฏิทิน'!GC2</f>
        <v/>
      </c>
      <c r="GD4">
        <f>'ปฏิทิน'!GD2</f>
        <v/>
      </c>
      <c r="GE4">
        <f>'ปฏิทิน'!GE2</f>
        <v/>
      </c>
      <c r="GF4">
        <f>'ปฏิทิน'!GF2</f>
        <v/>
      </c>
      <c r="GG4">
        <f>'ปฏิทิน'!GG2</f>
        <v/>
      </c>
      <c r="GH4">
        <f>'ปฏิทิน'!GH2</f>
        <v/>
      </c>
      <c r="GI4">
        <f>'ปฏิทิน'!GI2</f>
        <v/>
      </c>
      <c r="GJ4">
        <f>'ปฏิทิน'!GJ2</f>
        <v/>
      </c>
      <c r="GK4">
        <f>'ปฏิทิน'!GK2</f>
        <v/>
      </c>
      <c r="GL4">
        <f>'ปฏิทิน'!GL2</f>
        <v/>
      </c>
      <c r="GM4">
        <f>'ปฏิทิน'!GM2</f>
        <v/>
      </c>
      <c r="GN4">
        <f>'ปฏิทิน'!GN2</f>
        <v/>
      </c>
      <c r="GO4">
        <f>'ปฏิทิน'!GO2</f>
        <v/>
      </c>
      <c r="GP4">
        <f>'ปฏิทิน'!GP2</f>
        <v/>
      </c>
      <c r="GQ4">
        <f>'ปฏิทิน'!GQ2</f>
        <v/>
      </c>
      <c r="GR4">
        <f>'ปฏิทิน'!GR2</f>
        <v/>
      </c>
      <c r="GS4">
        <f>'ปฏิทิน'!GS2</f>
        <v/>
      </c>
      <c r="GT4">
        <f>'ปฏิทิน'!GT2</f>
        <v/>
      </c>
      <c r="GU4">
        <f>'ปฏิทิน'!GU2</f>
        <v/>
      </c>
      <c r="GV4">
        <f>'ปฏิทิน'!GV2</f>
        <v/>
      </c>
      <c r="GW4" t="inlineStr">
        <is>
          <t>s</t>
        </is>
      </c>
      <c r="GX4" t="inlineStr">
        <is>
          <t>s</t>
        </is>
      </c>
      <c r="GY4" t="inlineStr">
        <is>
          <t>s</t>
        </is>
      </c>
    </row>
    <row r="5" ht="22" customHeight="1">
      <c r="A5" s="683" t="inlineStr">
        <is>
          <t>เลขที่</t>
        </is>
      </c>
      <c r="B5" s="683" t="inlineStr">
        <is>
          <t>ชื่อ - สกุล</t>
        </is>
      </c>
      <c r="C5" s="684" t="inlineStr">
        <is>
          <t>ยอด
ยกมา
(บาท)</t>
        </is>
      </c>
      <c r="D5" s="685">
        <f>"เดือนพฤษภาคม  พ.ศ. "&amp;('ข้อมูลโรงเรียน'!$C$12-543+543)</f>
        <v/>
      </c>
      <c r="AI5" s="686" t="inlineStr">
        <is>
          <t>สรุป พ.ค.</t>
        </is>
      </c>
      <c r="AL5" s="685">
        <f>"เดือนมิถุนายน  พ.ศ. "&amp;('ข้อมูลโรงเรียน'!$C$12-543+543)</f>
        <v/>
      </c>
      <c r="BQ5" s="686" t="inlineStr">
        <is>
          <t>สรุป มิ.ย.</t>
        </is>
      </c>
      <c r="BT5" s="685">
        <f>"เดือนกรกฎาคม  พ.ศ. "&amp;('ข้อมูลโรงเรียน'!$C$12-543+543)</f>
        <v/>
      </c>
      <c r="CY5" s="686" t="inlineStr">
        <is>
          <t>สรุป ก.ค.</t>
        </is>
      </c>
      <c r="DB5" s="685">
        <f>"เดือนสิงหาคม  พ.ศ. "&amp;('ข้อมูลโรงเรียน'!$C$12-543+543)</f>
        <v/>
      </c>
      <c r="EG5" s="686" t="inlineStr">
        <is>
          <t>สรุป ส.ค.</t>
        </is>
      </c>
      <c r="EJ5" s="685">
        <f>"เดือนกันยายน  พ.ศ. "&amp;('ข้อมูลโรงเรียน'!$C$12-543+543)</f>
        <v/>
      </c>
      <c r="FO5" s="686" t="inlineStr">
        <is>
          <t>สรุป ก.ย.</t>
        </is>
      </c>
      <c r="FR5" s="685">
        <f>"เดือนตุลาคม  พ.ศ. "&amp;('ข้อมูลโรงเรียน'!$C$12-543+543)</f>
        <v/>
      </c>
      <c r="GW5" s="686" t="inlineStr">
        <is>
          <t>สรุป ต.ค.</t>
        </is>
      </c>
    </row>
    <row r="6">
      <c r="D6" s="687">
        <f>IF('ปฏิทิน'!D1="","",DAY('ปฏิทิน'!D1))</f>
        <v/>
      </c>
      <c r="E6" s="684">
        <f>IF('ปฏิทิน'!E1="","",DAY('ปฏิทิน'!E1))</f>
        <v/>
      </c>
      <c r="F6" s="684">
        <f>IF('ปฏิทิน'!F1="","",DAY('ปฏิทิน'!F1))</f>
        <v/>
      </c>
      <c r="G6" s="684">
        <f>IF('ปฏิทิน'!G1="","",DAY('ปฏิทิน'!G1))</f>
        <v/>
      </c>
      <c r="H6" s="684">
        <f>IF('ปฏิทิน'!H1="","",DAY('ปฏิทิน'!H1))</f>
        <v/>
      </c>
      <c r="I6" s="684">
        <f>IF('ปฏิทิน'!I1="","",DAY('ปฏิทิน'!I1))</f>
        <v/>
      </c>
      <c r="J6" s="684">
        <f>IF('ปฏิทิน'!J1="","",DAY('ปฏิทิน'!J1))</f>
        <v/>
      </c>
      <c r="K6" s="684">
        <f>IF('ปฏิทิน'!K1="","",DAY('ปฏิทิน'!K1))</f>
        <v/>
      </c>
      <c r="L6" s="684">
        <f>IF('ปฏิทิน'!L1="","",DAY('ปฏิทิน'!L1))</f>
        <v/>
      </c>
      <c r="M6" s="684">
        <f>IF('ปฏิทิน'!M1="","",DAY('ปฏิทิน'!M1))</f>
        <v/>
      </c>
      <c r="N6" s="684">
        <f>IF('ปฏิทิน'!N1="","",DAY('ปฏิทิน'!N1))</f>
        <v/>
      </c>
      <c r="O6" s="684">
        <f>IF('ปฏิทิน'!O1="","",DAY('ปฏิทิน'!O1))</f>
        <v/>
      </c>
      <c r="P6" s="684">
        <f>IF('ปฏิทิน'!P1="","",DAY('ปฏิทิน'!P1))</f>
        <v/>
      </c>
      <c r="Q6" s="684">
        <f>IF('ปฏิทิน'!Q1="","",DAY('ปฏิทิน'!Q1))</f>
        <v/>
      </c>
      <c r="R6" s="684">
        <f>IF('ปฏิทิน'!R1="","",DAY('ปฏิทิน'!R1))</f>
        <v/>
      </c>
      <c r="S6" s="684">
        <f>IF('ปฏิทิน'!S1="","",DAY('ปฏิทิน'!S1))</f>
        <v/>
      </c>
      <c r="T6" s="684">
        <f>IF('ปฏิทิน'!T1="","",DAY('ปฏิทิน'!T1))</f>
        <v/>
      </c>
      <c r="U6" s="684">
        <f>IF('ปฏิทิน'!U1="","",DAY('ปฏิทิน'!U1))</f>
        <v/>
      </c>
      <c r="V6" s="684">
        <f>IF('ปฏิทิน'!V1="","",DAY('ปฏิทิน'!V1))</f>
        <v/>
      </c>
      <c r="W6" s="684">
        <f>IF('ปฏิทิน'!W1="","",DAY('ปฏิทิน'!W1))</f>
        <v/>
      </c>
      <c r="X6" s="684">
        <f>IF('ปฏิทิน'!X1="","",DAY('ปฏิทิน'!X1))</f>
        <v/>
      </c>
      <c r="Y6" s="684">
        <f>IF('ปฏิทิน'!Y1="","",DAY('ปฏิทิน'!Y1))</f>
        <v/>
      </c>
      <c r="Z6" s="684">
        <f>IF('ปฏิทิน'!Z1="","",DAY('ปฏิทิน'!Z1))</f>
        <v/>
      </c>
      <c r="AA6" s="684">
        <f>IF('ปฏิทิน'!AA1="","",DAY('ปฏิทิน'!AA1))</f>
        <v/>
      </c>
      <c r="AB6" s="684">
        <f>IF('ปฏิทิน'!AB1="","",DAY('ปฏิทิน'!AB1))</f>
        <v/>
      </c>
      <c r="AC6" s="684">
        <f>IF('ปฏิทิน'!AC1="","",DAY('ปฏิทิน'!AC1))</f>
        <v/>
      </c>
      <c r="AD6" s="684">
        <f>IF('ปฏิทิน'!AD1="","",DAY('ปฏิทิน'!AD1))</f>
        <v/>
      </c>
      <c r="AE6" s="684">
        <f>IF('ปฏิทิน'!AE1="","",DAY('ปฏิทิน'!AE1))</f>
        <v/>
      </c>
      <c r="AF6" s="684">
        <f>IF('ปฏิทิน'!AF1="","",DAY('ปฏิทิน'!AF1))</f>
        <v/>
      </c>
      <c r="AG6" s="684">
        <f>IF('ปฏิทิน'!AG1="","",DAY('ปฏิทิน'!AG1))</f>
        <v/>
      </c>
      <c r="AH6" s="684">
        <f>IF('ปฏิทิน'!AH1="","",DAY('ปฏิทิน'!AH1))</f>
        <v/>
      </c>
      <c r="AI6" s="688" t="inlineStr">
        <is>
          <t>ฝาก</t>
        </is>
      </c>
      <c r="AJ6" s="689" t="inlineStr">
        <is>
          <t>ถอน</t>
        </is>
      </c>
      <c r="AK6" s="690" t="inlineStr">
        <is>
          <t>คง
เหลือ</t>
        </is>
      </c>
      <c r="AL6" s="687">
        <f>IF('ปฏิทิน'!AL1="","",DAY('ปฏิทิน'!AL1))</f>
        <v/>
      </c>
      <c r="AM6" s="684">
        <f>IF('ปฏิทิน'!AM1="","",DAY('ปฏิทิน'!AM1))</f>
        <v/>
      </c>
      <c r="AN6" s="684">
        <f>IF('ปฏิทิน'!AN1="","",DAY('ปฏิทิน'!AN1))</f>
        <v/>
      </c>
      <c r="AO6" s="684">
        <f>IF('ปฏิทิน'!AO1="","",DAY('ปฏิทิน'!AO1))</f>
        <v/>
      </c>
      <c r="AP6" s="684">
        <f>IF('ปฏิทิน'!AP1="","",DAY('ปฏิทิน'!AP1))</f>
        <v/>
      </c>
      <c r="AQ6" s="684">
        <f>IF('ปฏิทิน'!AQ1="","",DAY('ปฏิทิน'!AQ1))</f>
        <v/>
      </c>
      <c r="AR6" s="684">
        <f>IF('ปฏิทิน'!AR1="","",DAY('ปฏิทิน'!AR1))</f>
        <v/>
      </c>
      <c r="AS6" s="684">
        <f>IF('ปฏิทิน'!AS1="","",DAY('ปฏิทิน'!AS1))</f>
        <v/>
      </c>
      <c r="AT6" s="684">
        <f>IF('ปฏิทิน'!AT1="","",DAY('ปฏิทิน'!AT1))</f>
        <v/>
      </c>
      <c r="AU6" s="684">
        <f>IF('ปฏิทิน'!AU1="","",DAY('ปฏิทิน'!AU1))</f>
        <v/>
      </c>
      <c r="AV6" s="684">
        <f>IF('ปฏิทิน'!AV1="","",DAY('ปฏิทิน'!AV1))</f>
        <v/>
      </c>
      <c r="AW6" s="684">
        <f>IF('ปฏิทิน'!AW1="","",DAY('ปฏิทิน'!AW1))</f>
        <v/>
      </c>
      <c r="AX6" s="684">
        <f>IF('ปฏิทิน'!AX1="","",DAY('ปฏิทิน'!AX1))</f>
        <v/>
      </c>
      <c r="AY6" s="684">
        <f>IF('ปฏิทิน'!AY1="","",DAY('ปฏิทิน'!AY1))</f>
        <v/>
      </c>
      <c r="AZ6" s="684">
        <f>IF('ปฏิทิน'!AZ1="","",DAY('ปฏิทิน'!AZ1))</f>
        <v/>
      </c>
      <c r="BA6" s="684">
        <f>IF('ปฏิทิน'!BA1="","",DAY('ปฏิทิน'!BA1))</f>
        <v/>
      </c>
      <c r="BB6" s="684">
        <f>IF('ปฏิทิน'!BB1="","",DAY('ปฏิทิน'!BB1))</f>
        <v/>
      </c>
      <c r="BC6" s="684">
        <f>IF('ปฏิทิน'!BC1="","",DAY('ปฏิทิน'!BC1))</f>
        <v/>
      </c>
      <c r="BD6" s="684">
        <f>IF('ปฏิทิน'!BD1="","",DAY('ปฏิทิน'!BD1))</f>
        <v/>
      </c>
      <c r="BE6" s="684">
        <f>IF('ปฏิทิน'!BE1="","",DAY('ปฏิทิน'!BE1))</f>
        <v/>
      </c>
      <c r="BF6" s="684">
        <f>IF('ปฏิทิน'!BF1="","",DAY('ปฏิทิน'!BF1))</f>
        <v/>
      </c>
      <c r="BG6" s="684">
        <f>IF('ปฏิทิน'!BG1="","",DAY('ปฏิทิน'!BG1))</f>
        <v/>
      </c>
      <c r="BH6" s="684">
        <f>IF('ปฏิทิน'!BH1="","",DAY('ปฏิทิน'!BH1))</f>
        <v/>
      </c>
      <c r="BI6" s="684">
        <f>IF('ปฏิทิน'!BI1="","",DAY('ปฏิทิน'!BI1))</f>
        <v/>
      </c>
      <c r="BJ6" s="684">
        <f>IF('ปฏิทิน'!BJ1="","",DAY('ปฏิทิน'!BJ1))</f>
        <v/>
      </c>
      <c r="BK6" s="684">
        <f>IF('ปฏิทิน'!BK1="","",DAY('ปฏิทิน'!BK1))</f>
        <v/>
      </c>
      <c r="BL6" s="684">
        <f>IF('ปฏิทิน'!BL1="","",DAY('ปฏิทิน'!BL1))</f>
        <v/>
      </c>
      <c r="BM6" s="684">
        <f>IF('ปฏิทิน'!BM1="","",DAY('ปฏิทิน'!BM1))</f>
        <v/>
      </c>
      <c r="BN6" s="684">
        <f>IF('ปฏิทิน'!BN1="","",DAY('ปฏิทิน'!BN1))</f>
        <v/>
      </c>
      <c r="BO6" s="684">
        <f>IF('ปฏิทิน'!BO1="","",DAY('ปฏิทิน'!BO1))</f>
        <v/>
      </c>
      <c r="BP6" s="684">
        <f>IF('ปฏิทิน'!BP1="","",DAY('ปฏิทิน'!BP1))</f>
        <v/>
      </c>
      <c r="BQ6" s="688" t="inlineStr">
        <is>
          <t>ฝาก</t>
        </is>
      </c>
      <c r="BR6" s="689" t="inlineStr">
        <is>
          <t>ถอน</t>
        </is>
      </c>
      <c r="BS6" s="690" t="inlineStr">
        <is>
          <t>คง
เหลือ</t>
        </is>
      </c>
      <c r="BT6" s="687">
        <f>IF('ปฏิทิน'!BT1="","",DAY('ปฏิทิน'!BT1))</f>
        <v/>
      </c>
      <c r="BU6" s="684">
        <f>IF('ปฏิทิน'!BU1="","",DAY('ปฏิทิน'!BU1))</f>
        <v/>
      </c>
      <c r="BV6" s="684">
        <f>IF('ปฏิทิน'!BV1="","",DAY('ปฏิทิน'!BV1))</f>
        <v/>
      </c>
      <c r="BW6" s="684">
        <f>IF('ปฏิทิน'!BW1="","",DAY('ปฏิทิน'!BW1))</f>
        <v/>
      </c>
      <c r="BX6" s="684">
        <f>IF('ปฏิทิน'!BX1="","",DAY('ปฏิทิน'!BX1))</f>
        <v/>
      </c>
      <c r="BY6" s="684">
        <f>IF('ปฏิทิน'!BY1="","",DAY('ปฏิทิน'!BY1))</f>
        <v/>
      </c>
      <c r="BZ6" s="684">
        <f>IF('ปฏิทิน'!BZ1="","",DAY('ปฏิทิน'!BZ1))</f>
        <v/>
      </c>
      <c r="CA6" s="684">
        <f>IF('ปฏิทิน'!CA1="","",DAY('ปฏิทิน'!CA1))</f>
        <v/>
      </c>
      <c r="CB6" s="684">
        <f>IF('ปฏิทิน'!CB1="","",DAY('ปฏิทิน'!CB1))</f>
        <v/>
      </c>
      <c r="CC6" s="684">
        <f>IF('ปฏิทิน'!CC1="","",DAY('ปฏิทิน'!CC1))</f>
        <v/>
      </c>
      <c r="CD6" s="684">
        <f>IF('ปฏิทิน'!CD1="","",DAY('ปฏิทิน'!CD1))</f>
        <v/>
      </c>
      <c r="CE6" s="684">
        <f>IF('ปฏิทิน'!CE1="","",DAY('ปฏิทิน'!CE1))</f>
        <v/>
      </c>
      <c r="CF6" s="684">
        <f>IF('ปฏิทิน'!CF1="","",DAY('ปฏิทิน'!CF1))</f>
        <v/>
      </c>
      <c r="CG6" s="684">
        <f>IF('ปฏิทิน'!CG1="","",DAY('ปฏิทิน'!CG1))</f>
        <v/>
      </c>
      <c r="CH6" s="684">
        <f>IF('ปฏิทิน'!CH1="","",DAY('ปฏิทิน'!CH1))</f>
        <v/>
      </c>
      <c r="CI6" s="684">
        <f>IF('ปฏิทิน'!CI1="","",DAY('ปฏิทิน'!CI1))</f>
        <v/>
      </c>
      <c r="CJ6" s="684">
        <f>IF('ปฏิทิน'!CJ1="","",DAY('ปฏิทิน'!CJ1))</f>
        <v/>
      </c>
      <c r="CK6" s="684">
        <f>IF('ปฏิทิน'!CK1="","",DAY('ปฏิทิน'!CK1))</f>
        <v/>
      </c>
      <c r="CL6" s="684">
        <f>IF('ปฏิทิน'!CL1="","",DAY('ปฏิทิน'!CL1))</f>
        <v/>
      </c>
      <c r="CM6" s="684">
        <f>IF('ปฏิทิน'!CM1="","",DAY('ปฏิทิน'!CM1))</f>
        <v/>
      </c>
      <c r="CN6" s="684">
        <f>IF('ปฏิทิน'!CN1="","",DAY('ปฏิทิน'!CN1))</f>
        <v/>
      </c>
      <c r="CO6" s="684">
        <f>IF('ปฏิทิน'!CO1="","",DAY('ปฏิทิน'!CO1))</f>
        <v/>
      </c>
      <c r="CP6" s="684">
        <f>IF('ปฏิทิน'!CP1="","",DAY('ปฏิทิน'!CP1))</f>
        <v/>
      </c>
      <c r="CQ6" s="684">
        <f>IF('ปฏิทิน'!CQ1="","",DAY('ปฏิทิน'!CQ1))</f>
        <v/>
      </c>
      <c r="CR6" s="684">
        <f>IF('ปฏิทิน'!CR1="","",DAY('ปฏิทิน'!CR1))</f>
        <v/>
      </c>
      <c r="CS6" s="684">
        <f>IF('ปฏิทิน'!CS1="","",DAY('ปฏิทิน'!CS1))</f>
        <v/>
      </c>
      <c r="CT6" s="684">
        <f>IF('ปฏิทิน'!CT1="","",DAY('ปฏิทิน'!CT1))</f>
        <v/>
      </c>
      <c r="CU6" s="684">
        <f>IF('ปฏิทิน'!CU1="","",DAY('ปฏิทิน'!CU1))</f>
        <v/>
      </c>
      <c r="CV6" s="684">
        <f>IF('ปฏิทิน'!CV1="","",DAY('ปฏิทิน'!CV1))</f>
        <v/>
      </c>
      <c r="CW6" s="684">
        <f>IF('ปฏิทิน'!CW1="","",DAY('ปฏิทิน'!CW1))</f>
        <v/>
      </c>
      <c r="CX6" s="684">
        <f>IF('ปฏิทิน'!CX1="","",DAY('ปฏิทิน'!CX1))</f>
        <v/>
      </c>
      <c r="CY6" s="688" t="inlineStr">
        <is>
          <t>ฝาก</t>
        </is>
      </c>
      <c r="CZ6" s="689" t="inlineStr">
        <is>
          <t>ถอน</t>
        </is>
      </c>
      <c r="DA6" s="690" t="inlineStr">
        <is>
          <t>คง
เหลือ</t>
        </is>
      </c>
      <c r="DB6" s="687">
        <f>IF('ปฏิทิน'!DB1="","",DAY('ปฏิทิน'!DB1))</f>
        <v/>
      </c>
      <c r="DC6" s="684">
        <f>IF('ปฏิทิน'!DC1="","",DAY('ปฏิทิน'!DC1))</f>
        <v/>
      </c>
      <c r="DD6" s="684">
        <f>IF('ปฏิทิน'!DD1="","",DAY('ปฏิทิน'!DD1))</f>
        <v/>
      </c>
      <c r="DE6" s="684">
        <f>IF('ปฏิทิน'!DE1="","",DAY('ปฏิทิน'!DE1))</f>
        <v/>
      </c>
      <c r="DF6" s="684">
        <f>IF('ปฏิทิน'!DF1="","",DAY('ปฏิทิน'!DF1))</f>
        <v/>
      </c>
      <c r="DG6" s="684">
        <f>IF('ปฏิทิน'!DG1="","",DAY('ปฏิทิน'!DG1))</f>
        <v/>
      </c>
      <c r="DH6" s="684">
        <f>IF('ปฏิทิน'!DH1="","",DAY('ปฏิทิน'!DH1))</f>
        <v/>
      </c>
      <c r="DI6" s="684">
        <f>IF('ปฏิทิน'!DI1="","",DAY('ปฏิทิน'!DI1))</f>
        <v/>
      </c>
      <c r="DJ6" s="684">
        <f>IF('ปฏิทิน'!DJ1="","",DAY('ปฏิทิน'!DJ1))</f>
        <v/>
      </c>
      <c r="DK6" s="684">
        <f>IF('ปฏิทิน'!DK1="","",DAY('ปฏิทิน'!DK1))</f>
        <v/>
      </c>
      <c r="DL6" s="684">
        <f>IF('ปฏิทิน'!DL1="","",DAY('ปฏิทิน'!DL1))</f>
        <v/>
      </c>
      <c r="DM6" s="684">
        <f>IF('ปฏิทิน'!DM1="","",DAY('ปฏิทิน'!DM1))</f>
        <v/>
      </c>
      <c r="DN6" s="684">
        <f>IF('ปฏิทิน'!DN1="","",DAY('ปฏิทิน'!DN1))</f>
        <v/>
      </c>
      <c r="DO6" s="684">
        <f>IF('ปฏิทิน'!DO1="","",DAY('ปฏิทิน'!DO1))</f>
        <v/>
      </c>
      <c r="DP6" s="684">
        <f>IF('ปฏิทิน'!DP1="","",DAY('ปฏิทิน'!DP1))</f>
        <v/>
      </c>
      <c r="DQ6" s="684">
        <f>IF('ปฏิทิน'!DQ1="","",DAY('ปฏิทิน'!DQ1))</f>
        <v/>
      </c>
      <c r="DR6" s="684">
        <f>IF('ปฏิทิน'!DR1="","",DAY('ปฏิทิน'!DR1))</f>
        <v/>
      </c>
      <c r="DS6" s="684">
        <f>IF('ปฏิทิน'!DS1="","",DAY('ปฏิทิน'!DS1))</f>
        <v/>
      </c>
      <c r="DT6" s="684">
        <f>IF('ปฏิทิน'!DT1="","",DAY('ปฏิทิน'!DT1))</f>
        <v/>
      </c>
      <c r="DU6" s="684">
        <f>IF('ปฏิทิน'!DU1="","",DAY('ปฏิทิน'!DU1))</f>
        <v/>
      </c>
      <c r="DV6" s="684">
        <f>IF('ปฏิทิน'!DV1="","",DAY('ปฏิทิน'!DV1))</f>
        <v/>
      </c>
      <c r="DW6" s="684">
        <f>IF('ปฏิทิน'!DW1="","",DAY('ปฏิทิน'!DW1))</f>
        <v/>
      </c>
      <c r="DX6" s="684">
        <f>IF('ปฏิทิน'!DX1="","",DAY('ปฏิทิน'!DX1))</f>
        <v/>
      </c>
      <c r="DY6" s="684">
        <f>IF('ปฏิทิน'!DY1="","",DAY('ปฏิทิน'!DY1))</f>
        <v/>
      </c>
      <c r="DZ6" s="684">
        <f>IF('ปฏิทิน'!DZ1="","",DAY('ปฏิทิน'!DZ1))</f>
        <v/>
      </c>
      <c r="EA6" s="684">
        <f>IF('ปฏิทิน'!EA1="","",DAY('ปฏิทิน'!EA1))</f>
        <v/>
      </c>
      <c r="EB6" s="684">
        <f>IF('ปฏิทิน'!EB1="","",DAY('ปฏิทิน'!EB1))</f>
        <v/>
      </c>
      <c r="EC6" s="684">
        <f>IF('ปฏิทิน'!EC1="","",DAY('ปฏิทิน'!EC1))</f>
        <v/>
      </c>
      <c r="ED6" s="684">
        <f>IF('ปฏิทิน'!ED1="","",DAY('ปฏิทิน'!ED1))</f>
        <v/>
      </c>
      <c r="EE6" s="684">
        <f>IF('ปฏิทิน'!EE1="","",DAY('ปฏิทิน'!EE1))</f>
        <v/>
      </c>
      <c r="EF6" s="684">
        <f>IF('ปฏิทิน'!EF1="","",DAY('ปฏิทิน'!EF1))</f>
        <v/>
      </c>
      <c r="EG6" s="688" t="inlineStr">
        <is>
          <t>ฝาก</t>
        </is>
      </c>
      <c r="EH6" s="689" t="inlineStr">
        <is>
          <t>ถอน</t>
        </is>
      </c>
      <c r="EI6" s="690" t="inlineStr">
        <is>
          <t>คง
เหลือ</t>
        </is>
      </c>
      <c r="EJ6" s="687">
        <f>IF('ปฏิทิน'!EJ1="","",DAY('ปฏิทิน'!EJ1))</f>
        <v/>
      </c>
      <c r="EK6" s="684">
        <f>IF('ปฏิทิน'!EK1="","",DAY('ปฏิทิน'!EK1))</f>
        <v/>
      </c>
      <c r="EL6" s="684">
        <f>IF('ปฏิทิน'!EL1="","",DAY('ปฏิทิน'!EL1))</f>
        <v/>
      </c>
      <c r="EM6" s="684">
        <f>IF('ปฏิทิน'!EM1="","",DAY('ปฏิทิน'!EM1))</f>
        <v/>
      </c>
      <c r="EN6" s="684">
        <f>IF('ปฏิทิน'!EN1="","",DAY('ปฏิทิน'!EN1))</f>
        <v/>
      </c>
      <c r="EO6" s="684">
        <f>IF('ปฏิทิน'!EO1="","",DAY('ปฏิทิน'!EO1))</f>
        <v/>
      </c>
      <c r="EP6" s="684">
        <f>IF('ปฏิทิน'!EP1="","",DAY('ปฏิทิน'!EP1))</f>
        <v/>
      </c>
      <c r="EQ6" s="684">
        <f>IF('ปฏิทิน'!EQ1="","",DAY('ปฏิทิน'!EQ1))</f>
        <v/>
      </c>
      <c r="ER6" s="684">
        <f>IF('ปฏิทิน'!ER1="","",DAY('ปฏิทิน'!ER1))</f>
        <v/>
      </c>
      <c r="ES6" s="684">
        <f>IF('ปฏิทิน'!ES1="","",DAY('ปฏิทิน'!ES1))</f>
        <v/>
      </c>
      <c r="ET6" s="684">
        <f>IF('ปฏิทิน'!ET1="","",DAY('ปฏิทิน'!ET1))</f>
        <v/>
      </c>
      <c r="EU6" s="684">
        <f>IF('ปฏิทิน'!EU1="","",DAY('ปฏิทิน'!EU1))</f>
        <v/>
      </c>
      <c r="EV6" s="684">
        <f>IF('ปฏิทิน'!EV1="","",DAY('ปฏิทิน'!EV1))</f>
        <v/>
      </c>
      <c r="EW6" s="684">
        <f>IF('ปฏิทิน'!EW1="","",DAY('ปฏิทิน'!EW1))</f>
        <v/>
      </c>
      <c r="EX6" s="684">
        <f>IF('ปฏิทิน'!EX1="","",DAY('ปฏิทิน'!EX1))</f>
        <v/>
      </c>
      <c r="EY6" s="684">
        <f>IF('ปฏิทิน'!EY1="","",DAY('ปฏิทิน'!EY1))</f>
        <v/>
      </c>
      <c r="EZ6" s="684">
        <f>IF('ปฏิทิน'!EZ1="","",DAY('ปฏิทิน'!EZ1))</f>
        <v/>
      </c>
      <c r="FA6" s="684">
        <f>IF('ปฏิทิน'!FA1="","",DAY('ปฏิทิน'!FA1))</f>
        <v/>
      </c>
      <c r="FB6" s="684">
        <f>IF('ปฏิทิน'!FB1="","",DAY('ปฏิทิน'!FB1))</f>
        <v/>
      </c>
      <c r="FC6" s="684">
        <f>IF('ปฏิทิน'!FC1="","",DAY('ปฏิทิน'!FC1))</f>
        <v/>
      </c>
      <c r="FD6" s="684">
        <f>IF('ปฏิทิน'!FD1="","",DAY('ปฏิทิน'!FD1))</f>
        <v/>
      </c>
      <c r="FE6" s="684">
        <f>IF('ปฏิทิน'!FE1="","",DAY('ปฏิทิน'!FE1))</f>
        <v/>
      </c>
      <c r="FF6" s="684">
        <f>IF('ปฏิทิน'!FF1="","",DAY('ปฏิทิน'!FF1))</f>
        <v/>
      </c>
      <c r="FG6" s="684">
        <f>IF('ปฏิทิน'!FG1="","",DAY('ปฏิทิน'!FG1))</f>
        <v/>
      </c>
      <c r="FH6" s="684">
        <f>IF('ปฏิทิน'!FH1="","",DAY('ปฏิทิน'!FH1))</f>
        <v/>
      </c>
      <c r="FI6" s="684">
        <f>IF('ปฏิทิน'!FI1="","",DAY('ปฏิทิน'!FI1))</f>
        <v/>
      </c>
      <c r="FJ6" s="684">
        <f>IF('ปฏิทิน'!FJ1="","",DAY('ปฏิทิน'!FJ1))</f>
        <v/>
      </c>
      <c r="FK6" s="684">
        <f>IF('ปฏิทิน'!FK1="","",DAY('ปฏิทิน'!FK1))</f>
        <v/>
      </c>
      <c r="FL6" s="684">
        <f>IF('ปฏิทิน'!FL1="","",DAY('ปฏิทิน'!FL1))</f>
        <v/>
      </c>
      <c r="FM6" s="684">
        <f>IF('ปฏิทิน'!FM1="","",DAY('ปฏิทิน'!FM1))</f>
        <v/>
      </c>
      <c r="FN6" s="684">
        <f>IF('ปฏิทิน'!FN1="","",DAY('ปฏิทิน'!FN1))</f>
        <v/>
      </c>
      <c r="FO6" s="688" t="inlineStr">
        <is>
          <t>ฝาก</t>
        </is>
      </c>
      <c r="FP6" s="689" t="inlineStr">
        <is>
          <t>ถอน</t>
        </is>
      </c>
      <c r="FQ6" s="690" t="inlineStr">
        <is>
          <t>คง
เหลือ</t>
        </is>
      </c>
      <c r="FR6" s="687">
        <f>IF('ปฏิทิน'!FR1="","",DAY('ปฏิทิน'!FR1))</f>
        <v/>
      </c>
      <c r="FS6" s="684">
        <f>IF('ปฏิทิน'!FS1="","",DAY('ปฏิทิน'!FS1))</f>
        <v/>
      </c>
      <c r="FT6" s="684">
        <f>IF('ปฏิทิน'!FT1="","",DAY('ปฏิทิน'!FT1))</f>
        <v/>
      </c>
      <c r="FU6" s="684">
        <f>IF('ปฏิทิน'!FU1="","",DAY('ปฏิทิน'!FU1))</f>
        <v/>
      </c>
      <c r="FV6" s="684">
        <f>IF('ปฏิทิน'!FV1="","",DAY('ปฏิทิน'!FV1))</f>
        <v/>
      </c>
      <c r="FW6" s="684">
        <f>IF('ปฏิทิน'!FW1="","",DAY('ปฏิทิน'!FW1))</f>
        <v/>
      </c>
      <c r="FX6" s="684">
        <f>IF('ปฏิทิน'!FX1="","",DAY('ปฏิทิน'!FX1))</f>
        <v/>
      </c>
      <c r="FY6" s="684">
        <f>IF('ปฏิทิน'!FY1="","",DAY('ปฏิทิน'!FY1))</f>
        <v/>
      </c>
      <c r="FZ6" s="684">
        <f>IF('ปฏิทิน'!FZ1="","",DAY('ปฏิทิน'!FZ1))</f>
        <v/>
      </c>
      <c r="GA6" s="684">
        <f>IF('ปฏิทิน'!GA1="","",DAY('ปฏิทิน'!GA1))</f>
        <v/>
      </c>
      <c r="GB6" s="684">
        <f>IF('ปฏิทิน'!GB1="","",DAY('ปฏิทิน'!GB1))</f>
        <v/>
      </c>
      <c r="GC6" s="684">
        <f>IF('ปฏิทิน'!GC1="","",DAY('ปฏิทิน'!GC1))</f>
        <v/>
      </c>
      <c r="GD6" s="684">
        <f>IF('ปฏิทิน'!GD1="","",DAY('ปฏิทิน'!GD1))</f>
        <v/>
      </c>
      <c r="GE6" s="684">
        <f>IF('ปฏิทิน'!GE1="","",DAY('ปฏิทิน'!GE1))</f>
        <v/>
      </c>
      <c r="GF6" s="684">
        <f>IF('ปฏิทิน'!GF1="","",DAY('ปฏิทิน'!GF1))</f>
        <v/>
      </c>
      <c r="GG6" s="684">
        <f>IF('ปฏิทิน'!GG1="","",DAY('ปฏิทิน'!GG1))</f>
        <v/>
      </c>
      <c r="GH6" s="684">
        <f>IF('ปฏิทิน'!GH1="","",DAY('ปฏิทิน'!GH1))</f>
        <v/>
      </c>
      <c r="GI6" s="684">
        <f>IF('ปฏิทิน'!GI1="","",DAY('ปฏิทิน'!GI1))</f>
        <v/>
      </c>
      <c r="GJ6" s="684">
        <f>IF('ปฏิทิน'!GJ1="","",DAY('ปฏิทิน'!GJ1))</f>
        <v/>
      </c>
      <c r="GK6" s="684">
        <f>IF('ปฏิทิน'!GK1="","",DAY('ปฏิทิน'!GK1))</f>
        <v/>
      </c>
      <c r="GL6" s="684">
        <f>IF('ปฏิทิน'!GL1="","",DAY('ปฏิทิน'!GL1))</f>
        <v/>
      </c>
      <c r="GM6" s="684">
        <f>IF('ปฏิทิน'!GM1="","",DAY('ปฏิทิน'!GM1))</f>
        <v/>
      </c>
      <c r="GN6" s="684">
        <f>IF('ปฏิทิน'!GN1="","",DAY('ปฏิทิน'!GN1))</f>
        <v/>
      </c>
      <c r="GO6" s="684">
        <f>IF('ปฏิทิน'!GO1="","",DAY('ปฏิทิน'!GO1))</f>
        <v/>
      </c>
      <c r="GP6" s="684">
        <f>IF('ปฏิทิน'!GP1="","",DAY('ปฏิทิน'!GP1))</f>
        <v/>
      </c>
      <c r="GQ6" s="684">
        <f>IF('ปฏิทิน'!GQ1="","",DAY('ปฏิทิน'!GQ1))</f>
        <v/>
      </c>
      <c r="GR6" s="684">
        <f>IF('ปฏิทิน'!GR1="","",DAY('ปฏิทิน'!GR1))</f>
        <v/>
      </c>
      <c r="GS6" s="684">
        <f>IF('ปฏิทิน'!GS1="","",DAY('ปฏิทิน'!GS1))</f>
        <v/>
      </c>
      <c r="GT6" s="684">
        <f>IF('ปฏิทิน'!GT1="","",DAY('ปฏิทิน'!GT1))</f>
        <v/>
      </c>
      <c r="GU6" s="684">
        <f>IF('ปฏิทิน'!GU1="","",DAY('ปฏิทิน'!GU1))</f>
        <v/>
      </c>
      <c r="GV6" s="684">
        <f>IF('ปฏิทิน'!GV1="","",DAY('ปฏิทิน'!GV1))</f>
        <v/>
      </c>
      <c r="GW6" s="688" t="inlineStr">
        <is>
          <t>ฝาก</t>
        </is>
      </c>
      <c r="GX6" s="689" t="inlineStr">
        <is>
          <t>ถอน</t>
        </is>
      </c>
      <c r="GY6" s="690" t="inlineStr">
        <is>
          <t>คง
เหลือ</t>
        </is>
      </c>
    </row>
    <row r="7">
      <c r="D7" s="691">
        <f>IF('ปฏิทิน'!D1="","",CHOOSE(WEEKDAY('ปฏิทิน'!D1,2),"จ.","อ.","พ.","พฤ.","ศ.","ส.","อา."))</f>
        <v/>
      </c>
      <c r="E7" s="692">
        <f>IF('ปฏิทิน'!E1="","",CHOOSE(WEEKDAY('ปฏิทิน'!E1,2),"จ.","อ.","พ.","พฤ.","ศ.","ส.","อา."))</f>
        <v/>
      </c>
      <c r="F7" s="692">
        <f>IF('ปฏิทิน'!F1="","",CHOOSE(WEEKDAY('ปฏิทิน'!F1,2),"จ.","อ.","พ.","พฤ.","ศ.","ส.","อา."))</f>
        <v/>
      </c>
      <c r="G7" s="692">
        <f>IF('ปฏิทิน'!G1="","",CHOOSE(WEEKDAY('ปฏิทิน'!G1,2),"จ.","อ.","พ.","พฤ.","ศ.","ส.","อา."))</f>
        <v/>
      </c>
      <c r="H7" s="692">
        <f>IF('ปฏิทิน'!H1="","",CHOOSE(WEEKDAY('ปฏิทิน'!H1,2),"จ.","อ.","พ.","พฤ.","ศ.","ส.","อา."))</f>
        <v/>
      </c>
      <c r="I7" s="692">
        <f>IF('ปฏิทิน'!I1="","",CHOOSE(WEEKDAY('ปฏิทิน'!I1,2),"จ.","อ.","พ.","พฤ.","ศ.","ส.","อา."))</f>
        <v/>
      </c>
      <c r="J7" s="692">
        <f>IF('ปฏิทิน'!J1="","",CHOOSE(WEEKDAY('ปฏิทิน'!J1,2),"จ.","อ.","พ.","พฤ.","ศ.","ส.","อา."))</f>
        <v/>
      </c>
      <c r="K7" s="692">
        <f>IF('ปฏิทิน'!K1="","",CHOOSE(WEEKDAY('ปฏิทิน'!K1,2),"จ.","อ.","พ.","พฤ.","ศ.","ส.","อา."))</f>
        <v/>
      </c>
      <c r="L7" s="692">
        <f>IF('ปฏิทิน'!L1="","",CHOOSE(WEEKDAY('ปฏิทิน'!L1,2),"จ.","อ.","พ.","พฤ.","ศ.","ส.","อา."))</f>
        <v/>
      </c>
      <c r="M7" s="692">
        <f>IF('ปฏิทิน'!M1="","",CHOOSE(WEEKDAY('ปฏิทิน'!M1,2),"จ.","อ.","พ.","พฤ.","ศ.","ส.","อา."))</f>
        <v/>
      </c>
      <c r="N7" s="692">
        <f>IF('ปฏิทิน'!N1="","",CHOOSE(WEEKDAY('ปฏิทิน'!N1,2),"จ.","อ.","พ.","พฤ.","ศ.","ส.","อา."))</f>
        <v/>
      </c>
      <c r="O7" s="692">
        <f>IF('ปฏิทิน'!O1="","",CHOOSE(WEEKDAY('ปฏิทิน'!O1,2),"จ.","อ.","พ.","พฤ.","ศ.","ส.","อา."))</f>
        <v/>
      </c>
      <c r="P7" s="692">
        <f>IF('ปฏิทิน'!P1="","",CHOOSE(WEEKDAY('ปฏิทิน'!P1,2),"จ.","อ.","พ.","พฤ.","ศ.","ส.","อา."))</f>
        <v/>
      </c>
      <c r="Q7" s="692">
        <f>IF('ปฏิทิน'!Q1="","",CHOOSE(WEEKDAY('ปฏิทิน'!Q1,2),"จ.","อ.","พ.","พฤ.","ศ.","ส.","อา."))</f>
        <v/>
      </c>
      <c r="R7" s="692">
        <f>IF('ปฏิทิน'!R1="","",CHOOSE(WEEKDAY('ปฏิทิน'!R1,2),"จ.","อ.","พ.","พฤ.","ศ.","ส.","อา."))</f>
        <v/>
      </c>
      <c r="S7" s="692">
        <f>IF('ปฏิทิน'!S1="","",CHOOSE(WEEKDAY('ปฏิทิน'!S1,2),"จ.","อ.","พ.","พฤ.","ศ.","ส.","อา."))</f>
        <v/>
      </c>
      <c r="T7" s="692">
        <f>IF('ปฏิทิน'!T1="","",CHOOSE(WEEKDAY('ปฏิทิน'!T1,2),"จ.","อ.","พ.","พฤ.","ศ.","ส.","อา."))</f>
        <v/>
      </c>
      <c r="U7" s="692">
        <f>IF('ปฏิทิน'!U1="","",CHOOSE(WEEKDAY('ปฏิทิน'!U1,2),"จ.","อ.","พ.","พฤ.","ศ.","ส.","อา."))</f>
        <v/>
      </c>
      <c r="V7" s="692">
        <f>IF('ปฏิทิน'!V1="","",CHOOSE(WEEKDAY('ปฏิทิน'!V1,2),"จ.","อ.","พ.","พฤ.","ศ.","ส.","อา."))</f>
        <v/>
      </c>
      <c r="W7" s="692">
        <f>IF('ปฏิทิน'!W1="","",CHOOSE(WEEKDAY('ปฏิทิน'!W1,2),"จ.","อ.","พ.","พฤ.","ศ.","ส.","อา."))</f>
        <v/>
      </c>
      <c r="X7" s="692">
        <f>IF('ปฏิทิน'!X1="","",CHOOSE(WEEKDAY('ปฏิทิน'!X1,2),"จ.","อ.","พ.","พฤ.","ศ.","ส.","อา."))</f>
        <v/>
      </c>
      <c r="Y7" s="692">
        <f>IF('ปฏิทิน'!Y1="","",CHOOSE(WEEKDAY('ปฏิทิน'!Y1,2),"จ.","อ.","พ.","พฤ.","ศ.","ส.","อา."))</f>
        <v/>
      </c>
      <c r="Z7" s="692">
        <f>IF('ปฏิทิน'!Z1="","",CHOOSE(WEEKDAY('ปฏิทิน'!Z1,2),"จ.","อ.","พ.","พฤ.","ศ.","ส.","อา."))</f>
        <v/>
      </c>
      <c r="AA7" s="692">
        <f>IF('ปฏิทิน'!AA1="","",CHOOSE(WEEKDAY('ปฏิทิน'!AA1,2),"จ.","อ.","พ.","พฤ.","ศ.","ส.","อา."))</f>
        <v/>
      </c>
      <c r="AB7" s="692">
        <f>IF('ปฏิทิน'!AB1="","",CHOOSE(WEEKDAY('ปฏิทิน'!AB1,2),"จ.","อ.","พ.","พฤ.","ศ.","ส.","อา."))</f>
        <v/>
      </c>
      <c r="AC7" s="692">
        <f>IF('ปฏิทิน'!AC1="","",CHOOSE(WEEKDAY('ปฏิทิน'!AC1,2),"จ.","อ.","พ.","พฤ.","ศ.","ส.","อา."))</f>
        <v/>
      </c>
      <c r="AD7" s="692">
        <f>IF('ปฏิทิน'!AD1="","",CHOOSE(WEEKDAY('ปฏิทิน'!AD1,2),"จ.","อ.","พ.","พฤ.","ศ.","ส.","อา."))</f>
        <v/>
      </c>
      <c r="AE7" s="692">
        <f>IF('ปฏิทิน'!AE1="","",CHOOSE(WEEKDAY('ปฏิทิน'!AE1,2),"จ.","อ.","พ.","พฤ.","ศ.","ส.","อา."))</f>
        <v/>
      </c>
      <c r="AF7" s="692">
        <f>IF('ปฏิทิน'!AF1="","",CHOOSE(WEEKDAY('ปฏิทิน'!AF1,2),"จ.","อ.","พ.","พฤ.","ศ.","ส.","อา."))</f>
        <v/>
      </c>
      <c r="AG7" s="692">
        <f>IF('ปฏิทิน'!AG1="","",CHOOSE(WEEKDAY('ปฏิทิน'!AG1,2),"จ.","อ.","พ.","พฤ.","ศ.","ส.","อา."))</f>
        <v/>
      </c>
      <c r="AH7" s="692">
        <f>IF('ปฏิทิน'!AH1="","",CHOOSE(WEEKDAY('ปฏิทิน'!AH1,2),"จ.","อ.","พ.","พฤ.","ศ.","ส.","อา."))</f>
        <v/>
      </c>
      <c r="AI7" s="693" t="n"/>
      <c r="AL7" s="691">
        <f>IF('ปฏิทิน'!AL1="","",CHOOSE(WEEKDAY('ปฏิทิน'!AL1,2),"จ.","อ.","พ.","พฤ.","ศ.","ส.","อา."))</f>
        <v/>
      </c>
      <c r="AM7" s="692">
        <f>IF('ปฏิทิน'!AM1="","",CHOOSE(WEEKDAY('ปฏิทิน'!AM1,2),"จ.","อ.","พ.","พฤ.","ศ.","ส.","อา."))</f>
        <v/>
      </c>
      <c r="AN7" s="692">
        <f>IF('ปฏิทิน'!AN1="","",CHOOSE(WEEKDAY('ปฏิทิน'!AN1,2),"จ.","อ.","พ.","พฤ.","ศ.","ส.","อา."))</f>
        <v/>
      </c>
      <c r="AO7" s="692">
        <f>IF('ปฏิทิน'!AO1="","",CHOOSE(WEEKDAY('ปฏิทิน'!AO1,2),"จ.","อ.","พ.","พฤ.","ศ.","ส.","อา."))</f>
        <v/>
      </c>
      <c r="AP7" s="692">
        <f>IF('ปฏิทิน'!AP1="","",CHOOSE(WEEKDAY('ปฏิทิน'!AP1,2),"จ.","อ.","พ.","พฤ.","ศ.","ส.","อา."))</f>
        <v/>
      </c>
      <c r="AQ7" s="692">
        <f>IF('ปฏิทิน'!AQ1="","",CHOOSE(WEEKDAY('ปฏิทิน'!AQ1,2),"จ.","อ.","พ.","พฤ.","ศ.","ส.","อา."))</f>
        <v/>
      </c>
      <c r="AR7" s="692">
        <f>IF('ปฏิทิน'!AR1="","",CHOOSE(WEEKDAY('ปฏิทิน'!AR1,2),"จ.","อ.","พ.","พฤ.","ศ.","ส.","อา."))</f>
        <v/>
      </c>
      <c r="AS7" s="692">
        <f>IF('ปฏิทิน'!AS1="","",CHOOSE(WEEKDAY('ปฏิทิน'!AS1,2),"จ.","อ.","พ.","พฤ.","ศ.","ส.","อา."))</f>
        <v/>
      </c>
      <c r="AT7" s="692">
        <f>IF('ปฏิทิน'!AT1="","",CHOOSE(WEEKDAY('ปฏิทิน'!AT1,2),"จ.","อ.","พ.","พฤ.","ศ.","ส.","อา."))</f>
        <v/>
      </c>
      <c r="AU7" s="692">
        <f>IF('ปฏิทิน'!AU1="","",CHOOSE(WEEKDAY('ปฏิทิน'!AU1,2),"จ.","อ.","พ.","พฤ.","ศ.","ส.","อา."))</f>
        <v/>
      </c>
      <c r="AV7" s="692">
        <f>IF('ปฏิทิน'!AV1="","",CHOOSE(WEEKDAY('ปฏิทิน'!AV1,2),"จ.","อ.","พ.","พฤ.","ศ.","ส.","อา."))</f>
        <v/>
      </c>
      <c r="AW7" s="692">
        <f>IF('ปฏิทิน'!AW1="","",CHOOSE(WEEKDAY('ปฏิทิน'!AW1,2),"จ.","อ.","พ.","พฤ.","ศ.","ส.","อา."))</f>
        <v/>
      </c>
      <c r="AX7" s="692">
        <f>IF('ปฏิทิน'!AX1="","",CHOOSE(WEEKDAY('ปฏิทิน'!AX1,2),"จ.","อ.","พ.","พฤ.","ศ.","ส.","อา."))</f>
        <v/>
      </c>
      <c r="AY7" s="692">
        <f>IF('ปฏิทิน'!AY1="","",CHOOSE(WEEKDAY('ปฏิทิน'!AY1,2),"จ.","อ.","พ.","พฤ.","ศ.","ส.","อา."))</f>
        <v/>
      </c>
      <c r="AZ7" s="692">
        <f>IF('ปฏิทิน'!AZ1="","",CHOOSE(WEEKDAY('ปฏิทิน'!AZ1,2),"จ.","อ.","พ.","พฤ.","ศ.","ส.","อา."))</f>
        <v/>
      </c>
      <c r="BA7" s="692">
        <f>IF('ปฏิทิน'!BA1="","",CHOOSE(WEEKDAY('ปฏิทิน'!BA1,2),"จ.","อ.","พ.","พฤ.","ศ.","ส.","อา."))</f>
        <v/>
      </c>
      <c r="BB7" s="692">
        <f>IF('ปฏิทิน'!BB1="","",CHOOSE(WEEKDAY('ปฏิทิน'!BB1,2),"จ.","อ.","พ.","พฤ.","ศ.","ส.","อา."))</f>
        <v/>
      </c>
      <c r="BC7" s="692">
        <f>IF('ปฏิทิน'!BC1="","",CHOOSE(WEEKDAY('ปฏิทิน'!BC1,2),"จ.","อ.","พ.","พฤ.","ศ.","ส.","อา."))</f>
        <v/>
      </c>
      <c r="BD7" s="692">
        <f>IF('ปฏิทิน'!BD1="","",CHOOSE(WEEKDAY('ปฏิทิน'!BD1,2),"จ.","อ.","พ.","พฤ.","ศ.","ส.","อา."))</f>
        <v/>
      </c>
      <c r="BE7" s="692">
        <f>IF('ปฏิทิน'!BE1="","",CHOOSE(WEEKDAY('ปฏิทิน'!BE1,2),"จ.","อ.","พ.","พฤ.","ศ.","ส.","อา."))</f>
        <v/>
      </c>
      <c r="BF7" s="692">
        <f>IF('ปฏิทิน'!BF1="","",CHOOSE(WEEKDAY('ปฏิทิน'!BF1,2),"จ.","อ.","พ.","พฤ.","ศ.","ส.","อา."))</f>
        <v/>
      </c>
      <c r="BG7" s="692">
        <f>IF('ปฏิทิน'!BG1="","",CHOOSE(WEEKDAY('ปฏิทิน'!BG1,2),"จ.","อ.","พ.","พฤ.","ศ.","ส.","อา."))</f>
        <v/>
      </c>
      <c r="BH7" s="692">
        <f>IF('ปฏิทิน'!BH1="","",CHOOSE(WEEKDAY('ปฏิทิน'!BH1,2),"จ.","อ.","พ.","พฤ.","ศ.","ส.","อา."))</f>
        <v/>
      </c>
      <c r="BI7" s="692">
        <f>IF('ปฏิทิน'!BI1="","",CHOOSE(WEEKDAY('ปฏิทิน'!BI1,2),"จ.","อ.","พ.","พฤ.","ศ.","ส.","อา."))</f>
        <v/>
      </c>
      <c r="BJ7" s="692">
        <f>IF('ปฏิทิน'!BJ1="","",CHOOSE(WEEKDAY('ปฏิทิน'!BJ1,2),"จ.","อ.","พ.","พฤ.","ศ.","ส.","อา."))</f>
        <v/>
      </c>
      <c r="BK7" s="692">
        <f>IF('ปฏิทิน'!BK1="","",CHOOSE(WEEKDAY('ปฏิทิน'!BK1,2),"จ.","อ.","พ.","พฤ.","ศ.","ส.","อา."))</f>
        <v/>
      </c>
      <c r="BL7" s="692">
        <f>IF('ปฏิทิน'!BL1="","",CHOOSE(WEEKDAY('ปฏิทิน'!BL1,2),"จ.","อ.","พ.","พฤ.","ศ.","ส.","อา."))</f>
        <v/>
      </c>
      <c r="BM7" s="692">
        <f>IF('ปฏิทิน'!BM1="","",CHOOSE(WEEKDAY('ปฏิทิน'!BM1,2),"จ.","อ.","พ.","พฤ.","ศ.","ส.","อา."))</f>
        <v/>
      </c>
      <c r="BN7" s="692">
        <f>IF('ปฏิทิน'!BN1="","",CHOOSE(WEEKDAY('ปฏิทิน'!BN1,2),"จ.","อ.","พ.","พฤ.","ศ.","ส.","อา."))</f>
        <v/>
      </c>
      <c r="BO7" s="692">
        <f>IF('ปฏิทิน'!BO1="","",CHOOSE(WEEKDAY('ปฏิทิน'!BO1,2),"จ.","อ.","พ.","พฤ.","ศ.","ส.","อา."))</f>
        <v/>
      </c>
      <c r="BP7" s="692">
        <f>IF('ปฏิทิน'!BP1="","",CHOOSE(WEEKDAY('ปฏิทิน'!BP1,2),"จ.","อ.","พ.","พฤ.","ศ.","ส.","อา."))</f>
        <v/>
      </c>
      <c r="BQ7" s="693" t="n"/>
      <c r="BT7" s="691">
        <f>IF('ปฏิทิน'!BT1="","",CHOOSE(WEEKDAY('ปฏิทิน'!BT1,2),"จ.","อ.","พ.","พฤ.","ศ.","ส.","อา."))</f>
        <v/>
      </c>
      <c r="BU7" s="692">
        <f>IF('ปฏิทิน'!BU1="","",CHOOSE(WEEKDAY('ปฏิทิน'!BU1,2),"จ.","อ.","พ.","พฤ.","ศ.","ส.","อา."))</f>
        <v/>
      </c>
      <c r="BV7" s="692">
        <f>IF('ปฏิทิน'!BV1="","",CHOOSE(WEEKDAY('ปฏิทิน'!BV1,2),"จ.","อ.","พ.","พฤ.","ศ.","ส.","อา."))</f>
        <v/>
      </c>
      <c r="BW7" s="692">
        <f>IF('ปฏิทิน'!BW1="","",CHOOSE(WEEKDAY('ปฏิทิน'!BW1,2),"จ.","อ.","พ.","พฤ.","ศ.","ส.","อา."))</f>
        <v/>
      </c>
      <c r="BX7" s="692">
        <f>IF('ปฏิทิน'!BX1="","",CHOOSE(WEEKDAY('ปฏิทิน'!BX1,2),"จ.","อ.","พ.","พฤ.","ศ.","ส.","อา."))</f>
        <v/>
      </c>
      <c r="BY7" s="692">
        <f>IF('ปฏิทิน'!BY1="","",CHOOSE(WEEKDAY('ปฏิทิน'!BY1,2),"จ.","อ.","พ.","พฤ.","ศ.","ส.","อา."))</f>
        <v/>
      </c>
      <c r="BZ7" s="692">
        <f>IF('ปฏิทิน'!BZ1="","",CHOOSE(WEEKDAY('ปฏิทิน'!BZ1,2),"จ.","อ.","พ.","พฤ.","ศ.","ส.","อา."))</f>
        <v/>
      </c>
      <c r="CA7" s="692">
        <f>IF('ปฏิทิน'!CA1="","",CHOOSE(WEEKDAY('ปฏิทิน'!CA1,2),"จ.","อ.","พ.","พฤ.","ศ.","ส.","อา."))</f>
        <v/>
      </c>
      <c r="CB7" s="692">
        <f>IF('ปฏิทิน'!CB1="","",CHOOSE(WEEKDAY('ปฏิทิน'!CB1,2),"จ.","อ.","พ.","พฤ.","ศ.","ส.","อา."))</f>
        <v/>
      </c>
      <c r="CC7" s="692">
        <f>IF('ปฏิทิน'!CC1="","",CHOOSE(WEEKDAY('ปฏิทิน'!CC1,2),"จ.","อ.","พ.","พฤ.","ศ.","ส.","อา."))</f>
        <v/>
      </c>
      <c r="CD7" s="692">
        <f>IF('ปฏิทิน'!CD1="","",CHOOSE(WEEKDAY('ปฏิทิน'!CD1,2),"จ.","อ.","พ.","พฤ.","ศ.","ส.","อา."))</f>
        <v/>
      </c>
      <c r="CE7" s="692">
        <f>IF('ปฏิทิน'!CE1="","",CHOOSE(WEEKDAY('ปฏิทิน'!CE1,2),"จ.","อ.","พ.","พฤ.","ศ.","ส.","อา."))</f>
        <v/>
      </c>
      <c r="CF7" s="692">
        <f>IF('ปฏิทิน'!CF1="","",CHOOSE(WEEKDAY('ปฏิทิน'!CF1,2),"จ.","อ.","พ.","พฤ.","ศ.","ส.","อา."))</f>
        <v/>
      </c>
      <c r="CG7" s="692">
        <f>IF('ปฏิทิน'!CG1="","",CHOOSE(WEEKDAY('ปฏิทิน'!CG1,2),"จ.","อ.","พ.","พฤ.","ศ.","ส.","อา."))</f>
        <v/>
      </c>
      <c r="CH7" s="692">
        <f>IF('ปฏิทิน'!CH1="","",CHOOSE(WEEKDAY('ปฏิทิน'!CH1,2),"จ.","อ.","พ.","พฤ.","ศ.","ส.","อา."))</f>
        <v/>
      </c>
      <c r="CI7" s="692">
        <f>IF('ปฏิทิน'!CI1="","",CHOOSE(WEEKDAY('ปฏิทิน'!CI1,2),"จ.","อ.","พ.","พฤ.","ศ.","ส.","อา."))</f>
        <v/>
      </c>
      <c r="CJ7" s="692">
        <f>IF('ปฏิทิน'!CJ1="","",CHOOSE(WEEKDAY('ปฏิทิน'!CJ1,2),"จ.","อ.","พ.","พฤ.","ศ.","ส.","อา."))</f>
        <v/>
      </c>
      <c r="CK7" s="692">
        <f>IF('ปฏิทิน'!CK1="","",CHOOSE(WEEKDAY('ปฏิทิน'!CK1,2),"จ.","อ.","พ.","พฤ.","ศ.","ส.","อา."))</f>
        <v/>
      </c>
      <c r="CL7" s="692">
        <f>IF('ปฏิทิน'!CL1="","",CHOOSE(WEEKDAY('ปฏิทิน'!CL1,2),"จ.","อ.","พ.","พฤ.","ศ.","ส.","อา."))</f>
        <v/>
      </c>
      <c r="CM7" s="692">
        <f>IF('ปฏิทิน'!CM1="","",CHOOSE(WEEKDAY('ปฏิทิน'!CM1,2),"จ.","อ.","พ.","พฤ.","ศ.","ส.","อา."))</f>
        <v/>
      </c>
      <c r="CN7" s="692">
        <f>IF('ปฏิทิน'!CN1="","",CHOOSE(WEEKDAY('ปฏิทิน'!CN1,2),"จ.","อ.","พ.","พฤ.","ศ.","ส.","อา."))</f>
        <v/>
      </c>
      <c r="CO7" s="692">
        <f>IF('ปฏิทิน'!CO1="","",CHOOSE(WEEKDAY('ปฏิทิน'!CO1,2),"จ.","อ.","พ.","พฤ.","ศ.","ส.","อา."))</f>
        <v/>
      </c>
      <c r="CP7" s="692">
        <f>IF('ปฏิทิน'!CP1="","",CHOOSE(WEEKDAY('ปฏิทิน'!CP1,2),"จ.","อ.","พ.","พฤ.","ศ.","ส.","อา."))</f>
        <v/>
      </c>
      <c r="CQ7" s="692">
        <f>IF('ปฏิทิน'!CQ1="","",CHOOSE(WEEKDAY('ปฏิทิน'!CQ1,2),"จ.","อ.","พ.","พฤ.","ศ.","ส.","อา."))</f>
        <v/>
      </c>
      <c r="CR7" s="692">
        <f>IF('ปฏิทิน'!CR1="","",CHOOSE(WEEKDAY('ปฏิทิน'!CR1,2),"จ.","อ.","พ.","พฤ.","ศ.","ส.","อา."))</f>
        <v/>
      </c>
      <c r="CS7" s="692">
        <f>IF('ปฏิทิน'!CS1="","",CHOOSE(WEEKDAY('ปฏิทิน'!CS1,2),"จ.","อ.","พ.","พฤ.","ศ.","ส.","อา."))</f>
        <v/>
      </c>
      <c r="CT7" s="692">
        <f>IF('ปฏิทิน'!CT1="","",CHOOSE(WEEKDAY('ปฏิทิน'!CT1,2),"จ.","อ.","พ.","พฤ.","ศ.","ส.","อา."))</f>
        <v/>
      </c>
      <c r="CU7" s="692">
        <f>IF('ปฏิทิน'!CU1="","",CHOOSE(WEEKDAY('ปฏิทิน'!CU1,2),"จ.","อ.","พ.","พฤ.","ศ.","ส.","อา."))</f>
        <v/>
      </c>
      <c r="CV7" s="692">
        <f>IF('ปฏิทิน'!CV1="","",CHOOSE(WEEKDAY('ปฏิทิน'!CV1,2),"จ.","อ.","พ.","พฤ.","ศ.","ส.","อา."))</f>
        <v/>
      </c>
      <c r="CW7" s="692">
        <f>IF('ปฏิทิน'!CW1="","",CHOOSE(WEEKDAY('ปฏิทิน'!CW1,2),"จ.","อ.","พ.","พฤ.","ศ.","ส.","อา."))</f>
        <v/>
      </c>
      <c r="CX7" s="692">
        <f>IF('ปฏิทิน'!CX1="","",CHOOSE(WEEKDAY('ปฏิทิน'!CX1,2),"จ.","อ.","พ.","พฤ.","ศ.","ส.","อา."))</f>
        <v/>
      </c>
      <c r="CY7" s="693" t="n"/>
      <c r="DB7" s="691">
        <f>IF('ปฏิทิน'!DB1="","",CHOOSE(WEEKDAY('ปฏิทิน'!DB1,2),"จ.","อ.","พ.","พฤ.","ศ.","ส.","อา."))</f>
        <v/>
      </c>
      <c r="DC7" s="692">
        <f>IF('ปฏิทิน'!DC1="","",CHOOSE(WEEKDAY('ปฏิทิน'!DC1,2),"จ.","อ.","พ.","พฤ.","ศ.","ส.","อา."))</f>
        <v/>
      </c>
      <c r="DD7" s="692">
        <f>IF('ปฏิทิน'!DD1="","",CHOOSE(WEEKDAY('ปฏิทิน'!DD1,2),"จ.","อ.","พ.","พฤ.","ศ.","ส.","อา."))</f>
        <v/>
      </c>
      <c r="DE7" s="692">
        <f>IF('ปฏิทิน'!DE1="","",CHOOSE(WEEKDAY('ปฏิทิน'!DE1,2),"จ.","อ.","พ.","พฤ.","ศ.","ส.","อา."))</f>
        <v/>
      </c>
      <c r="DF7" s="692">
        <f>IF('ปฏิทิน'!DF1="","",CHOOSE(WEEKDAY('ปฏิทิน'!DF1,2),"จ.","อ.","พ.","พฤ.","ศ.","ส.","อา."))</f>
        <v/>
      </c>
      <c r="DG7" s="692">
        <f>IF('ปฏิทิน'!DG1="","",CHOOSE(WEEKDAY('ปฏิทิน'!DG1,2),"จ.","อ.","พ.","พฤ.","ศ.","ส.","อา."))</f>
        <v/>
      </c>
      <c r="DH7" s="692">
        <f>IF('ปฏิทิน'!DH1="","",CHOOSE(WEEKDAY('ปฏิทิน'!DH1,2),"จ.","อ.","พ.","พฤ.","ศ.","ส.","อา."))</f>
        <v/>
      </c>
      <c r="DI7" s="692">
        <f>IF('ปฏิทิน'!DI1="","",CHOOSE(WEEKDAY('ปฏิทิน'!DI1,2),"จ.","อ.","พ.","พฤ.","ศ.","ส.","อา."))</f>
        <v/>
      </c>
      <c r="DJ7" s="692">
        <f>IF('ปฏิทิน'!DJ1="","",CHOOSE(WEEKDAY('ปฏิทิน'!DJ1,2),"จ.","อ.","พ.","พฤ.","ศ.","ส.","อา."))</f>
        <v/>
      </c>
      <c r="DK7" s="692">
        <f>IF('ปฏิทิน'!DK1="","",CHOOSE(WEEKDAY('ปฏิทิน'!DK1,2),"จ.","อ.","พ.","พฤ.","ศ.","ส.","อา."))</f>
        <v/>
      </c>
      <c r="DL7" s="692">
        <f>IF('ปฏิทิน'!DL1="","",CHOOSE(WEEKDAY('ปฏิทิน'!DL1,2),"จ.","อ.","พ.","พฤ.","ศ.","ส.","อา."))</f>
        <v/>
      </c>
      <c r="DM7" s="692">
        <f>IF('ปฏิทิน'!DM1="","",CHOOSE(WEEKDAY('ปฏิทิน'!DM1,2),"จ.","อ.","พ.","พฤ.","ศ.","ส.","อา."))</f>
        <v/>
      </c>
      <c r="DN7" s="692">
        <f>IF('ปฏิทิน'!DN1="","",CHOOSE(WEEKDAY('ปฏิทิน'!DN1,2),"จ.","อ.","พ.","พฤ.","ศ.","ส.","อา."))</f>
        <v/>
      </c>
      <c r="DO7" s="692">
        <f>IF('ปฏิทิน'!DO1="","",CHOOSE(WEEKDAY('ปฏิทิน'!DO1,2),"จ.","อ.","พ.","พฤ.","ศ.","ส.","อา."))</f>
        <v/>
      </c>
      <c r="DP7" s="692">
        <f>IF('ปฏิทิน'!DP1="","",CHOOSE(WEEKDAY('ปฏิทิน'!DP1,2),"จ.","อ.","พ.","พฤ.","ศ.","ส.","อา."))</f>
        <v/>
      </c>
      <c r="DQ7" s="692">
        <f>IF('ปฏิทิน'!DQ1="","",CHOOSE(WEEKDAY('ปฏิทิน'!DQ1,2),"จ.","อ.","พ.","พฤ.","ศ.","ส.","อา."))</f>
        <v/>
      </c>
      <c r="DR7" s="692">
        <f>IF('ปฏิทิน'!DR1="","",CHOOSE(WEEKDAY('ปฏิทิน'!DR1,2),"จ.","อ.","พ.","พฤ.","ศ.","ส.","อา."))</f>
        <v/>
      </c>
      <c r="DS7" s="692">
        <f>IF('ปฏิทิน'!DS1="","",CHOOSE(WEEKDAY('ปฏิทิน'!DS1,2),"จ.","อ.","พ.","พฤ.","ศ.","ส.","อา."))</f>
        <v/>
      </c>
      <c r="DT7" s="692">
        <f>IF('ปฏิทิน'!DT1="","",CHOOSE(WEEKDAY('ปฏิทิน'!DT1,2),"จ.","อ.","พ.","พฤ.","ศ.","ส.","อา."))</f>
        <v/>
      </c>
      <c r="DU7" s="692">
        <f>IF('ปฏิทิน'!DU1="","",CHOOSE(WEEKDAY('ปฏิทิน'!DU1,2),"จ.","อ.","พ.","พฤ.","ศ.","ส.","อา."))</f>
        <v/>
      </c>
      <c r="DV7" s="692">
        <f>IF('ปฏิทิน'!DV1="","",CHOOSE(WEEKDAY('ปฏิทิน'!DV1,2),"จ.","อ.","พ.","พฤ.","ศ.","ส.","อา."))</f>
        <v/>
      </c>
      <c r="DW7" s="692">
        <f>IF('ปฏิทิน'!DW1="","",CHOOSE(WEEKDAY('ปฏิทิน'!DW1,2),"จ.","อ.","พ.","พฤ.","ศ.","ส.","อา."))</f>
        <v/>
      </c>
      <c r="DX7" s="692">
        <f>IF('ปฏิทิน'!DX1="","",CHOOSE(WEEKDAY('ปฏิทิน'!DX1,2),"จ.","อ.","พ.","พฤ.","ศ.","ส.","อา."))</f>
        <v/>
      </c>
      <c r="DY7" s="692">
        <f>IF('ปฏิทิน'!DY1="","",CHOOSE(WEEKDAY('ปฏิทิน'!DY1,2),"จ.","อ.","พ.","พฤ.","ศ.","ส.","อา."))</f>
        <v/>
      </c>
      <c r="DZ7" s="692">
        <f>IF('ปฏิทิน'!DZ1="","",CHOOSE(WEEKDAY('ปฏิทิน'!DZ1,2),"จ.","อ.","พ.","พฤ.","ศ.","ส.","อา."))</f>
        <v/>
      </c>
      <c r="EA7" s="692">
        <f>IF('ปฏิทิน'!EA1="","",CHOOSE(WEEKDAY('ปฏิทิน'!EA1,2),"จ.","อ.","พ.","พฤ.","ศ.","ส.","อา."))</f>
        <v/>
      </c>
      <c r="EB7" s="692">
        <f>IF('ปฏิทิน'!EB1="","",CHOOSE(WEEKDAY('ปฏิทิน'!EB1,2),"จ.","อ.","พ.","พฤ.","ศ.","ส.","อา."))</f>
        <v/>
      </c>
      <c r="EC7" s="692">
        <f>IF('ปฏิทิน'!EC1="","",CHOOSE(WEEKDAY('ปฏิทิน'!EC1,2),"จ.","อ.","พ.","พฤ.","ศ.","ส.","อา."))</f>
        <v/>
      </c>
      <c r="ED7" s="692">
        <f>IF('ปฏิทิน'!ED1="","",CHOOSE(WEEKDAY('ปฏิทิน'!ED1,2),"จ.","อ.","พ.","พฤ.","ศ.","ส.","อา."))</f>
        <v/>
      </c>
      <c r="EE7" s="692">
        <f>IF('ปฏิทิน'!EE1="","",CHOOSE(WEEKDAY('ปฏิทิน'!EE1,2),"จ.","อ.","พ.","พฤ.","ศ.","ส.","อา."))</f>
        <v/>
      </c>
      <c r="EF7" s="692">
        <f>IF('ปฏิทิน'!EF1="","",CHOOSE(WEEKDAY('ปฏิทิน'!EF1,2),"จ.","อ.","พ.","พฤ.","ศ.","ส.","อา."))</f>
        <v/>
      </c>
      <c r="EG7" s="693" t="n"/>
      <c r="EJ7" s="691">
        <f>IF('ปฏิทิน'!EJ1="","",CHOOSE(WEEKDAY('ปฏิทิน'!EJ1,2),"จ.","อ.","พ.","พฤ.","ศ.","ส.","อา."))</f>
        <v/>
      </c>
      <c r="EK7" s="692">
        <f>IF('ปฏิทิน'!EK1="","",CHOOSE(WEEKDAY('ปฏิทิน'!EK1,2),"จ.","อ.","พ.","พฤ.","ศ.","ส.","อา."))</f>
        <v/>
      </c>
      <c r="EL7" s="692">
        <f>IF('ปฏิทิน'!EL1="","",CHOOSE(WEEKDAY('ปฏิทิน'!EL1,2),"จ.","อ.","พ.","พฤ.","ศ.","ส.","อา."))</f>
        <v/>
      </c>
      <c r="EM7" s="692">
        <f>IF('ปฏิทิน'!EM1="","",CHOOSE(WEEKDAY('ปฏิทิน'!EM1,2),"จ.","อ.","พ.","พฤ.","ศ.","ส.","อา."))</f>
        <v/>
      </c>
      <c r="EN7" s="692">
        <f>IF('ปฏิทิน'!EN1="","",CHOOSE(WEEKDAY('ปฏิทิน'!EN1,2),"จ.","อ.","พ.","พฤ.","ศ.","ส.","อา."))</f>
        <v/>
      </c>
      <c r="EO7" s="692">
        <f>IF('ปฏิทิน'!EO1="","",CHOOSE(WEEKDAY('ปฏิทิน'!EO1,2),"จ.","อ.","พ.","พฤ.","ศ.","ส.","อา."))</f>
        <v/>
      </c>
      <c r="EP7" s="692">
        <f>IF('ปฏิทิน'!EP1="","",CHOOSE(WEEKDAY('ปฏิทิน'!EP1,2),"จ.","อ.","พ.","พฤ.","ศ.","ส.","อา."))</f>
        <v/>
      </c>
      <c r="EQ7" s="692">
        <f>IF('ปฏิทิน'!EQ1="","",CHOOSE(WEEKDAY('ปฏิทิน'!EQ1,2),"จ.","อ.","พ.","พฤ.","ศ.","ส.","อา."))</f>
        <v/>
      </c>
      <c r="ER7" s="692">
        <f>IF('ปฏิทิน'!ER1="","",CHOOSE(WEEKDAY('ปฏิทิน'!ER1,2),"จ.","อ.","พ.","พฤ.","ศ.","ส.","อา."))</f>
        <v/>
      </c>
      <c r="ES7" s="692">
        <f>IF('ปฏิทิน'!ES1="","",CHOOSE(WEEKDAY('ปฏิทิน'!ES1,2),"จ.","อ.","พ.","พฤ.","ศ.","ส.","อา."))</f>
        <v/>
      </c>
      <c r="ET7" s="692">
        <f>IF('ปฏิทิน'!ET1="","",CHOOSE(WEEKDAY('ปฏิทิน'!ET1,2),"จ.","อ.","พ.","พฤ.","ศ.","ส.","อา."))</f>
        <v/>
      </c>
      <c r="EU7" s="692">
        <f>IF('ปฏิทิน'!EU1="","",CHOOSE(WEEKDAY('ปฏิทิน'!EU1,2),"จ.","อ.","พ.","พฤ.","ศ.","ส.","อา."))</f>
        <v/>
      </c>
      <c r="EV7" s="692">
        <f>IF('ปฏิทิน'!EV1="","",CHOOSE(WEEKDAY('ปฏิทิน'!EV1,2),"จ.","อ.","พ.","พฤ.","ศ.","ส.","อา."))</f>
        <v/>
      </c>
      <c r="EW7" s="692">
        <f>IF('ปฏิทิน'!EW1="","",CHOOSE(WEEKDAY('ปฏิทิน'!EW1,2),"จ.","อ.","พ.","พฤ.","ศ.","ส.","อา."))</f>
        <v/>
      </c>
      <c r="EX7" s="692">
        <f>IF('ปฏิทิน'!EX1="","",CHOOSE(WEEKDAY('ปฏิทิน'!EX1,2),"จ.","อ.","พ.","พฤ.","ศ.","ส.","อา."))</f>
        <v/>
      </c>
      <c r="EY7" s="692">
        <f>IF('ปฏิทิน'!EY1="","",CHOOSE(WEEKDAY('ปฏิทิน'!EY1,2),"จ.","อ.","พ.","พฤ.","ศ.","ส.","อา."))</f>
        <v/>
      </c>
      <c r="EZ7" s="692">
        <f>IF('ปฏิทิน'!EZ1="","",CHOOSE(WEEKDAY('ปฏิทิน'!EZ1,2),"จ.","อ.","พ.","พฤ.","ศ.","ส.","อา."))</f>
        <v/>
      </c>
      <c r="FA7" s="692">
        <f>IF('ปฏิทิน'!FA1="","",CHOOSE(WEEKDAY('ปฏิทิน'!FA1,2),"จ.","อ.","พ.","พฤ.","ศ.","ส.","อา."))</f>
        <v/>
      </c>
      <c r="FB7" s="692">
        <f>IF('ปฏิทิน'!FB1="","",CHOOSE(WEEKDAY('ปฏิทิน'!FB1,2),"จ.","อ.","พ.","พฤ.","ศ.","ส.","อา."))</f>
        <v/>
      </c>
      <c r="FC7" s="692">
        <f>IF('ปฏิทิน'!FC1="","",CHOOSE(WEEKDAY('ปฏิทิน'!FC1,2),"จ.","อ.","พ.","พฤ.","ศ.","ส.","อา."))</f>
        <v/>
      </c>
      <c r="FD7" s="692">
        <f>IF('ปฏิทิน'!FD1="","",CHOOSE(WEEKDAY('ปฏิทิน'!FD1,2),"จ.","อ.","พ.","พฤ.","ศ.","ส.","อา."))</f>
        <v/>
      </c>
      <c r="FE7" s="692">
        <f>IF('ปฏิทิน'!FE1="","",CHOOSE(WEEKDAY('ปฏิทิน'!FE1,2),"จ.","อ.","พ.","พฤ.","ศ.","ส.","อา."))</f>
        <v/>
      </c>
      <c r="FF7" s="692">
        <f>IF('ปฏิทิน'!FF1="","",CHOOSE(WEEKDAY('ปฏิทิน'!FF1,2),"จ.","อ.","พ.","พฤ.","ศ.","ส.","อา."))</f>
        <v/>
      </c>
      <c r="FG7" s="692">
        <f>IF('ปฏิทิน'!FG1="","",CHOOSE(WEEKDAY('ปฏิทิน'!FG1,2),"จ.","อ.","พ.","พฤ.","ศ.","ส.","อา."))</f>
        <v/>
      </c>
      <c r="FH7" s="692">
        <f>IF('ปฏิทิน'!FH1="","",CHOOSE(WEEKDAY('ปฏิทิน'!FH1,2),"จ.","อ.","พ.","พฤ.","ศ.","ส.","อา."))</f>
        <v/>
      </c>
      <c r="FI7" s="692">
        <f>IF('ปฏิทิน'!FI1="","",CHOOSE(WEEKDAY('ปฏิทิน'!FI1,2),"จ.","อ.","พ.","พฤ.","ศ.","ส.","อา."))</f>
        <v/>
      </c>
      <c r="FJ7" s="692">
        <f>IF('ปฏิทิน'!FJ1="","",CHOOSE(WEEKDAY('ปฏิทิน'!FJ1,2),"จ.","อ.","พ.","พฤ.","ศ.","ส.","อา."))</f>
        <v/>
      </c>
      <c r="FK7" s="692">
        <f>IF('ปฏิทิน'!FK1="","",CHOOSE(WEEKDAY('ปฏิทิน'!FK1,2),"จ.","อ.","พ.","พฤ.","ศ.","ส.","อา."))</f>
        <v/>
      </c>
      <c r="FL7" s="692">
        <f>IF('ปฏิทิน'!FL1="","",CHOOSE(WEEKDAY('ปฏิทิน'!FL1,2),"จ.","อ.","พ.","พฤ.","ศ.","ส.","อา."))</f>
        <v/>
      </c>
      <c r="FM7" s="692">
        <f>IF('ปฏิทิน'!FM1="","",CHOOSE(WEEKDAY('ปฏิทิน'!FM1,2),"จ.","อ.","พ.","พฤ.","ศ.","ส.","อา."))</f>
        <v/>
      </c>
      <c r="FN7" s="692">
        <f>IF('ปฏิทิน'!FN1="","",CHOOSE(WEEKDAY('ปฏิทิน'!FN1,2),"จ.","อ.","พ.","พฤ.","ศ.","ส.","อา."))</f>
        <v/>
      </c>
      <c r="FO7" s="693" t="n"/>
      <c r="FR7" s="691">
        <f>IF('ปฏิทิน'!FR1="","",CHOOSE(WEEKDAY('ปฏิทิน'!FR1,2),"จ.","อ.","พ.","พฤ.","ศ.","ส.","อา."))</f>
        <v/>
      </c>
      <c r="FS7" s="692">
        <f>IF('ปฏิทิน'!FS1="","",CHOOSE(WEEKDAY('ปฏิทิน'!FS1,2),"จ.","อ.","พ.","พฤ.","ศ.","ส.","อา."))</f>
        <v/>
      </c>
      <c r="FT7" s="692">
        <f>IF('ปฏิทิน'!FT1="","",CHOOSE(WEEKDAY('ปฏิทิน'!FT1,2),"จ.","อ.","พ.","พฤ.","ศ.","ส.","อา."))</f>
        <v/>
      </c>
      <c r="FU7" s="692">
        <f>IF('ปฏิทิน'!FU1="","",CHOOSE(WEEKDAY('ปฏิทิน'!FU1,2),"จ.","อ.","พ.","พฤ.","ศ.","ส.","อา."))</f>
        <v/>
      </c>
      <c r="FV7" s="692">
        <f>IF('ปฏิทิน'!FV1="","",CHOOSE(WEEKDAY('ปฏิทิน'!FV1,2),"จ.","อ.","พ.","พฤ.","ศ.","ส.","อา."))</f>
        <v/>
      </c>
      <c r="FW7" s="692">
        <f>IF('ปฏิทิน'!FW1="","",CHOOSE(WEEKDAY('ปฏิทิน'!FW1,2),"จ.","อ.","พ.","พฤ.","ศ.","ส.","อา."))</f>
        <v/>
      </c>
      <c r="FX7" s="692">
        <f>IF('ปฏิทิน'!FX1="","",CHOOSE(WEEKDAY('ปฏิทิน'!FX1,2),"จ.","อ.","พ.","พฤ.","ศ.","ส.","อา."))</f>
        <v/>
      </c>
      <c r="FY7" s="692">
        <f>IF('ปฏิทิน'!FY1="","",CHOOSE(WEEKDAY('ปฏิทิน'!FY1,2),"จ.","อ.","พ.","พฤ.","ศ.","ส.","อา."))</f>
        <v/>
      </c>
      <c r="FZ7" s="692">
        <f>IF('ปฏิทิน'!FZ1="","",CHOOSE(WEEKDAY('ปฏิทิน'!FZ1,2),"จ.","อ.","พ.","พฤ.","ศ.","ส.","อา."))</f>
        <v/>
      </c>
      <c r="GA7" s="692">
        <f>IF('ปฏิทิน'!GA1="","",CHOOSE(WEEKDAY('ปฏิทิน'!GA1,2),"จ.","อ.","พ.","พฤ.","ศ.","ส.","อา."))</f>
        <v/>
      </c>
      <c r="GB7" s="692">
        <f>IF('ปฏิทิน'!GB1="","",CHOOSE(WEEKDAY('ปฏิทิน'!GB1,2),"จ.","อ.","พ.","พฤ.","ศ.","ส.","อา."))</f>
        <v/>
      </c>
      <c r="GC7" s="692">
        <f>IF('ปฏิทิน'!GC1="","",CHOOSE(WEEKDAY('ปฏิทิน'!GC1,2),"จ.","อ.","พ.","พฤ.","ศ.","ส.","อา."))</f>
        <v/>
      </c>
      <c r="GD7" s="692">
        <f>IF('ปฏิทิน'!GD1="","",CHOOSE(WEEKDAY('ปฏิทิน'!GD1,2),"จ.","อ.","พ.","พฤ.","ศ.","ส.","อา."))</f>
        <v/>
      </c>
      <c r="GE7" s="692">
        <f>IF('ปฏิทิน'!GE1="","",CHOOSE(WEEKDAY('ปฏิทิน'!GE1,2),"จ.","อ.","พ.","พฤ.","ศ.","ส.","อา."))</f>
        <v/>
      </c>
      <c r="GF7" s="692">
        <f>IF('ปฏิทิน'!GF1="","",CHOOSE(WEEKDAY('ปฏิทิน'!GF1,2),"จ.","อ.","พ.","พฤ.","ศ.","ส.","อา."))</f>
        <v/>
      </c>
      <c r="GG7" s="692">
        <f>IF('ปฏิทิน'!GG1="","",CHOOSE(WEEKDAY('ปฏิทิน'!GG1,2),"จ.","อ.","พ.","พฤ.","ศ.","ส.","อา."))</f>
        <v/>
      </c>
      <c r="GH7" s="692">
        <f>IF('ปฏิทิน'!GH1="","",CHOOSE(WEEKDAY('ปฏิทิน'!GH1,2),"จ.","อ.","พ.","พฤ.","ศ.","ส.","อา."))</f>
        <v/>
      </c>
      <c r="GI7" s="692">
        <f>IF('ปฏิทิน'!GI1="","",CHOOSE(WEEKDAY('ปฏิทิน'!GI1,2),"จ.","อ.","พ.","พฤ.","ศ.","ส.","อา."))</f>
        <v/>
      </c>
      <c r="GJ7" s="692">
        <f>IF('ปฏิทิน'!GJ1="","",CHOOSE(WEEKDAY('ปฏิทิน'!GJ1,2),"จ.","อ.","พ.","พฤ.","ศ.","ส.","อา."))</f>
        <v/>
      </c>
      <c r="GK7" s="692">
        <f>IF('ปฏิทิน'!GK1="","",CHOOSE(WEEKDAY('ปฏิทิน'!GK1,2),"จ.","อ.","พ.","พฤ.","ศ.","ส.","อา."))</f>
        <v/>
      </c>
      <c r="GL7" s="692">
        <f>IF('ปฏิทิน'!GL1="","",CHOOSE(WEEKDAY('ปฏิทิน'!GL1,2),"จ.","อ.","พ.","พฤ.","ศ.","ส.","อา."))</f>
        <v/>
      </c>
      <c r="GM7" s="692">
        <f>IF('ปฏิทิน'!GM1="","",CHOOSE(WEEKDAY('ปฏิทิน'!GM1,2),"จ.","อ.","พ.","พฤ.","ศ.","ส.","อา."))</f>
        <v/>
      </c>
      <c r="GN7" s="692">
        <f>IF('ปฏิทิน'!GN1="","",CHOOSE(WEEKDAY('ปฏิทิน'!GN1,2),"จ.","อ.","พ.","พฤ.","ศ.","ส.","อา."))</f>
        <v/>
      </c>
      <c r="GO7" s="692">
        <f>IF('ปฏิทิน'!GO1="","",CHOOSE(WEEKDAY('ปฏิทิน'!GO1,2),"จ.","อ.","พ.","พฤ.","ศ.","ส.","อา."))</f>
        <v/>
      </c>
      <c r="GP7" s="692">
        <f>IF('ปฏิทิน'!GP1="","",CHOOSE(WEEKDAY('ปฏิทิน'!GP1,2),"จ.","อ.","พ.","พฤ.","ศ.","ส.","อา."))</f>
        <v/>
      </c>
      <c r="GQ7" s="692">
        <f>IF('ปฏิทิน'!GQ1="","",CHOOSE(WEEKDAY('ปฏิทิน'!GQ1,2),"จ.","อ.","พ.","พฤ.","ศ.","ส.","อา."))</f>
        <v/>
      </c>
      <c r="GR7" s="692">
        <f>IF('ปฏิทิน'!GR1="","",CHOOSE(WEEKDAY('ปฏิทิน'!GR1,2),"จ.","อ.","พ.","พฤ.","ศ.","ส.","อา."))</f>
        <v/>
      </c>
      <c r="GS7" s="692">
        <f>IF('ปฏิทิน'!GS1="","",CHOOSE(WEEKDAY('ปฏิทิน'!GS1,2),"จ.","อ.","พ.","พฤ.","ศ.","ส.","อา."))</f>
        <v/>
      </c>
      <c r="GT7" s="692">
        <f>IF('ปฏิทิน'!GT1="","",CHOOSE(WEEKDAY('ปฏิทิน'!GT1,2),"จ.","อ.","พ.","พฤ.","ศ.","ส.","อา."))</f>
        <v/>
      </c>
      <c r="GU7" s="692">
        <f>IF('ปฏิทิน'!GU1="","",CHOOSE(WEEKDAY('ปฏิทิน'!GU1,2),"จ.","อ.","พ.","พฤ.","ศ.","ส.","อา."))</f>
        <v/>
      </c>
      <c r="GV7" s="692">
        <f>IF('ปฏิทิน'!GV1="","",CHOOSE(WEEKDAY('ปฏิทิน'!GV1,2),"จ.","อ.","พ.","พฤ.","ศ.","ส.","อา."))</f>
        <v/>
      </c>
      <c r="GW7" s="693" t="n"/>
    </row>
    <row r="8" ht="64" customHeight="1">
      <c r="D8" s="694">
        <f>'ปฏิทิน'!D3</f>
        <v/>
      </c>
      <c r="E8" s="265">
        <f>'ปฏิทิน'!E3</f>
        <v/>
      </c>
      <c r="F8" s="265">
        <f>'ปฏิทิน'!F3</f>
        <v/>
      </c>
      <c r="G8" s="265">
        <f>'ปฏิทิน'!G3</f>
        <v/>
      </c>
      <c r="H8" s="265">
        <f>'ปฏิทิน'!H3</f>
        <v/>
      </c>
      <c r="I8" s="265">
        <f>'ปฏิทิน'!I3</f>
        <v/>
      </c>
      <c r="J8" s="265">
        <f>'ปฏิทิน'!J3</f>
        <v/>
      </c>
      <c r="K8" s="265">
        <f>'ปฏิทิน'!K3</f>
        <v/>
      </c>
      <c r="L8" s="265">
        <f>'ปฏิทิน'!L3</f>
        <v/>
      </c>
      <c r="M8" s="265">
        <f>'ปฏิทิน'!M3</f>
        <v/>
      </c>
      <c r="N8" s="265">
        <f>'ปฏิทิน'!N3</f>
        <v/>
      </c>
      <c r="O8" s="265">
        <f>'ปฏิทิน'!O3</f>
        <v/>
      </c>
      <c r="P8" s="265">
        <f>'ปฏิทิน'!P3</f>
        <v/>
      </c>
      <c r="Q8" s="265">
        <f>'ปฏิทิน'!Q3</f>
        <v/>
      </c>
      <c r="R8" s="265">
        <f>'ปฏิทิน'!R3</f>
        <v/>
      </c>
      <c r="S8" s="265">
        <f>'ปฏิทิน'!S3</f>
        <v/>
      </c>
      <c r="T8" s="265">
        <f>'ปฏิทิน'!T3</f>
        <v/>
      </c>
      <c r="U8" s="265">
        <f>'ปฏิทิน'!U3</f>
        <v/>
      </c>
      <c r="V8" s="265">
        <f>'ปฏิทิน'!V3</f>
        <v/>
      </c>
      <c r="W8" s="265">
        <f>'ปฏิทิน'!W3</f>
        <v/>
      </c>
      <c r="X8" s="265">
        <f>'ปฏิทิน'!X3</f>
        <v/>
      </c>
      <c r="Y8" s="265">
        <f>'ปฏิทิน'!Y3</f>
        <v/>
      </c>
      <c r="Z8" s="265">
        <f>'ปฏิทิน'!Z3</f>
        <v/>
      </c>
      <c r="AA8" s="265">
        <f>'ปฏิทิน'!AA3</f>
        <v/>
      </c>
      <c r="AB8" s="265">
        <f>'ปฏิทิน'!AB3</f>
        <v/>
      </c>
      <c r="AC8" s="265">
        <f>'ปฏิทิน'!AC3</f>
        <v/>
      </c>
      <c r="AD8" s="265">
        <f>'ปฏิทิน'!AD3</f>
        <v/>
      </c>
      <c r="AE8" s="265">
        <f>'ปฏิทิน'!AE3</f>
        <v/>
      </c>
      <c r="AF8" s="265">
        <f>'ปฏิทิน'!AF3</f>
        <v/>
      </c>
      <c r="AG8" s="265">
        <f>'ปฏิทิน'!AG3</f>
        <v/>
      </c>
      <c r="AH8" s="265">
        <f>'ปฏิทิน'!AH3</f>
        <v/>
      </c>
      <c r="AI8" s="693" t="n"/>
      <c r="AL8" s="694">
        <f>'ปฏิทิน'!AL3</f>
        <v/>
      </c>
      <c r="AM8" s="265">
        <f>'ปฏิทิน'!AM3</f>
        <v/>
      </c>
      <c r="AN8" s="265">
        <f>'ปฏิทิน'!AN3</f>
        <v/>
      </c>
      <c r="AO8" s="265">
        <f>'ปฏิทิน'!AO3</f>
        <v/>
      </c>
      <c r="AP8" s="265">
        <f>'ปฏิทิน'!AP3</f>
        <v/>
      </c>
      <c r="AQ8" s="265">
        <f>'ปฏิทิน'!AQ3</f>
        <v/>
      </c>
      <c r="AR8" s="265">
        <f>'ปฏิทิน'!AR3</f>
        <v/>
      </c>
      <c r="AS8" s="265">
        <f>'ปฏิทิน'!AS3</f>
        <v/>
      </c>
      <c r="AT8" s="265">
        <f>'ปฏิทิน'!AT3</f>
        <v/>
      </c>
      <c r="AU8" s="265">
        <f>'ปฏิทิน'!AU3</f>
        <v/>
      </c>
      <c r="AV8" s="265">
        <f>'ปฏิทิน'!AV3</f>
        <v/>
      </c>
      <c r="AW8" s="265">
        <f>'ปฏิทิน'!AW3</f>
        <v/>
      </c>
      <c r="AX8" s="265">
        <f>'ปฏิทิน'!AX3</f>
        <v/>
      </c>
      <c r="AY8" s="265">
        <f>'ปฏิทิน'!AY3</f>
        <v/>
      </c>
      <c r="AZ8" s="265">
        <f>'ปฏิทิน'!AZ3</f>
        <v/>
      </c>
      <c r="BA8" s="265">
        <f>'ปฏิทิน'!BA3</f>
        <v/>
      </c>
      <c r="BB8" s="265">
        <f>'ปฏิทิน'!BB3</f>
        <v/>
      </c>
      <c r="BC8" s="265">
        <f>'ปฏิทิน'!BC3</f>
        <v/>
      </c>
      <c r="BD8" s="265">
        <f>'ปฏิทิน'!BD3</f>
        <v/>
      </c>
      <c r="BE8" s="265">
        <f>'ปฏิทิน'!BE3</f>
        <v/>
      </c>
      <c r="BF8" s="265">
        <f>'ปฏิทิน'!BF3</f>
        <v/>
      </c>
      <c r="BG8" s="265">
        <f>'ปฏิทิน'!BG3</f>
        <v/>
      </c>
      <c r="BH8" s="265">
        <f>'ปฏิทิน'!BH3</f>
        <v/>
      </c>
      <c r="BI8" s="265">
        <f>'ปฏิทิน'!BI3</f>
        <v/>
      </c>
      <c r="BJ8" s="265">
        <f>'ปฏิทิน'!BJ3</f>
        <v/>
      </c>
      <c r="BK8" s="265">
        <f>'ปฏิทิน'!BK3</f>
        <v/>
      </c>
      <c r="BL8" s="265">
        <f>'ปฏิทิน'!BL3</f>
        <v/>
      </c>
      <c r="BM8" s="265">
        <f>'ปฏิทิน'!BM3</f>
        <v/>
      </c>
      <c r="BN8" s="265">
        <f>'ปฏิทิน'!BN3</f>
        <v/>
      </c>
      <c r="BO8" s="265">
        <f>'ปฏิทิน'!BO3</f>
        <v/>
      </c>
      <c r="BP8" s="265">
        <f>'ปฏิทิน'!BP3</f>
        <v/>
      </c>
      <c r="BQ8" s="693" t="n"/>
      <c r="BT8" s="694">
        <f>'ปฏิทิน'!BT3</f>
        <v/>
      </c>
      <c r="BU8" s="265">
        <f>'ปฏิทิน'!BU3</f>
        <v/>
      </c>
      <c r="BV8" s="265">
        <f>'ปฏิทิน'!BV3</f>
        <v/>
      </c>
      <c r="BW8" s="265">
        <f>'ปฏิทิน'!BW3</f>
        <v/>
      </c>
      <c r="BX8" s="265">
        <f>'ปฏิทิน'!BX3</f>
        <v/>
      </c>
      <c r="BY8" s="265">
        <f>'ปฏิทิน'!BY3</f>
        <v/>
      </c>
      <c r="BZ8" s="265">
        <f>'ปฏิทิน'!BZ3</f>
        <v/>
      </c>
      <c r="CA8" s="265">
        <f>'ปฏิทิน'!CA3</f>
        <v/>
      </c>
      <c r="CB8" s="265">
        <f>'ปฏิทิน'!CB3</f>
        <v/>
      </c>
      <c r="CC8" s="265">
        <f>'ปฏิทิน'!CC3</f>
        <v/>
      </c>
      <c r="CD8" s="265">
        <f>'ปฏิทิน'!CD3</f>
        <v/>
      </c>
      <c r="CE8" s="265">
        <f>'ปฏิทิน'!CE3</f>
        <v/>
      </c>
      <c r="CF8" s="265">
        <f>'ปฏิทิน'!CF3</f>
        <v/>
      </c>
      <c r="CG8" s="265">
        <f>'ปฏิทิน'!CG3</f>
        <v/>
      </c>
      <c r="CH8" s="265">
        <f>'ปฏิทิน'!CH3</f>
        <v/>
      </c>
      <c r="CI8" s="265">
        <f>'ปฏิทิน'!CI3</f>
        <v/>
      </c>
      <c r="CJ8" s="265">
        <f>'ปฏิทิน'!CJ3</f>
        <v/>
      </c>
      <c r="CK8" s="265">
        <f>'ปฏิทิน'!CK3</f>
        <v/>
      </c>
      <c r="CL8" s="265">
        <f>'ปฏิทิน'!CL3</f>
        <v/>
      </c>
      <c r="CM8" s="265">
        <f>'ปฏิทิน'!CM3</f>
        <v/>
      </c>
      <c r="CN8" s="265">
        <f>'ปฏิทิน'!CN3</f>
        <v/>
      </c>
      <c r="CO8" s="265">
        <f>'ปฏิทิน'!CO3</f>
        <v/>
      </c>
      <c r="CP8" s="265">
        <f>'ปฏิทิน'!CP3</f>
        <v/>
      </c>
      <c r="CQ8" s="265">
        <f>'ปฏิทิน'!CQ3</f>
        <v/>
      </c>
      <c r="CR8" s="265">
        <f>'ปฏิทิน'!CR3</f>
        <v/>
      </c>
      <c r="CS8" s="265">
        <f>'ปฏิทิน'!CS3</f>
        <v/>
      </c>
      <c r="CT8" s="265">
        <f>'ปฏิทิน'!CT3</f>
        <v/>
      </c>
      <c r="CU8" s="265">
        <f>'ปฏิทิน'!CU3</f>
        <v/>
      </c>
      <c r="CV8" s="265">
        <f>'ปฏิทิน'!CV3</f>
        <v/>
      </c>
      <c r="CW8" s="265">
        <f>'ปฏิทิน'!CW3</f>
        <v/>
      </c>
      <c r="CX8" s="265">
        <f>'ปฏิทิน'!CX3</f>
        <v/>
      </c>
      <c r="CY8" s="693" t="n"/>
      <c r="DB8" s="694">
        <f>'ปฏิทิน'!DB3</f>
        <v/>
      </c>
      <c r="DC8" s="265">
        <f>'ปฏิทิน'!DC3</f>
        <v/>
      </c>
      <c r="DD8" s="265">
        <f>'ปฏิทิน'!DD3</f>
        <v/>
      </c>
      <c r="DE8" s="265">
        <f>'ปฏิทิน'!DE3</f>
        <v/>
      </c>
      <c r="DF8" s="265">
        <f>'ปฏิทิน'!DF3</f>
        <v/>
      </c>
      <c r="DG8" s="265">
        <f>'ปฏิทิน'!DG3</f>
        <v/>
      </c>
      <c r="DH8" s="265">
        <f>'ปฏิทิน'!DH3</f>
        <v/>
      </c>
      <c r="DI8" s="265">
        <f>'ปฏิทิน'!DI3</f>
        <v/>
      </c>
      <c r="DJ8" s="265">
        <f>'ปฏิทิน'!DJ3</f>
        <v/>
      </c>
      <c r="DK8" s="265">
        <f>'ปฏิทิน'!DK3</f>
        <v/>
      </c>
      <c r="DL8" s="265">
        <f>'ปฏิทิน'!DL3</f>
        <v/>
      </c>
      <c r="DM8" s="265">
        <f>'ปฏิทิน'!DM3</f>
        <v/>
      </c>
      <c r="DN8" s="265">
        <f>'ปฏิทิน'!DN3</f>
        <v/>
      </c>
      <c r="DO8" s="265">
        <f>'ปฏิทิน'!DO3</f>
        <v/>
      </c>
      <c r="DP8" s="265">
        <f>'ปฏิทิน'!DP3</f>
        <v/>
      </c>
      <c r="DQ8" s="265">
        <f>'ปฏิทิน'!DQ3</f>
        <v/>
      </c>
      <c r="DR8" s="265">
        <f>'ปฏิทิน'!DR3</f>
        <v/>
      </c>
      <c r="DS8" s="265">
        <f>'ปฏิทิน'!DS3</f>
        <v/>
      </c>
      <c r="DT8" s="265">
        <f>'ปฏิทิน'!DT3</f>
        <v/>
      </c>
      <c r="DU8" s="265">
        <f>'ปฏิทิน'!DU3</f>
        <v/>
      </c>
      <c r="DV8" s="265">
        <f>'ปฏิทิน'!DV3</f>
        <v/>
      </c>
      <c r="DW8" s="265">
        <f>'ปฏิทิน'!DW3</f>
        <v/>
      </c>
      <c r="DX8" s="265">
        <f>'ปฏิทิน'!DX3</f>
        <v/>
      </c>
      <c r="DY8" s="265">
        <f>'ปฏิทิน'!DY3</f>
        <v/>
      </c>
      <c r="DZ8" s="265">
        <f>'ปฏิทิน'!DZ3</f>
        <v/>
      </c>
      <c r="EA8" s="265">
        <f>'ปฏิทิน'!EA3</f>
        <v/>
      </c>
      <c r="EB8" s="265">
        <f>'ปฏิทิน'!EB3</f>
        <v/>
      </c>
      <c r="EC8" s="265">
        <f>'ปฏิทิน'!EC3</f>
        <v/>
      </c>
      <c r="ED8" s="265">
        <f>'ปฏิทิน'!ED3</f>
        <v/>
      </c>
      <c r="EE8" s="265">
        <f>'ปฏิทิน'!EE3</f>
        <v/>
      </c>
      <c r="EF8" s="265">
        <f>'ปฏิทิน'!EF3</f>
        <v/>
      </c>
      <c r="EG8" s="693" t="n"/>
      <c r="EJ8" s="694">
        <f>'ปฏิทิน'!EJ3</f>
        <v/>
      </c>
      <c r="EK8" s="265">
        <f>'ปฏิทิน'!EK3</f>
        <v/>
      </c>
      <c r="EL8" s="265">
        <f>'ปฏิทิน'!EL3</f>
        <v/>
      </c>
      <c r="EM8" s="265">
        <f>'ปฏิทิน'!EM3</f>
        <v/>
      </c>
      <c r="EN8" s="265">
        <f>'ปฏิทิน'!EN3</f>
        <v/>
      </c>
      <c r="EO8" s="265">
        <f>'ปฏิทิน'!EO3</f>
        <v/>
      </c>
      <c r="EP8" s="265">
        <f>'ปฏิทิน'!EP3</f>
        <v/>
      </c>
      <c r="EQ8" s="265">
        <f>'ปฏิทิน'!EQ3</f>
        <v/>
      </c>
      <c r="ER8" s="265">
        <f>'ปฏิทิน'!ER3</f>
        <v/>
      </c>
      <c r="ES8" s="265">
        <f>'ปฏิทิน'!ES3</f>
        <v/>
      </c>
      <c r="ET8" s="265">
        <f>'ปฏิทิน'!ET3</f>
        <v/>
      </c>
      <c r="EU8" s="265">
        <f>'ปฏิทิน'!EU3</f>
        <v/>
      </c>
      <c r="EV8" s="265">
        <f>'ปฏิทิน'!EV3</f>
        <v/>
      </c>
      <c r="EW8" s="265">
        <f>'ปฏิทิน'!EW3</f>
        <v/>
      </c>
      <c r="EX8" s="265">
        <f>'ปฏิทิน'!EX3</f>
        <v/>
      </c>
      <c r="EY8" s="265">
        <f>'ปฏิทิน'!EY3</f>
        <v/>
      </c>
      <c r="EZ8" s="265">
        <f>'ปฏิทิน'!EZ3</f>
        <v/>
      </c>
      <c r="FA8" s="265">
        <f>'ปฏิทิน'!FA3</f>
        <v/>
      </c>
      <c r="FB8" s="265">
        <f>'ปฏิทิน'!FB3</f>
        <v/>
      </c>
      <c r="FC8" s="265">
        <f>'ปฏิทิน'!FC3</f>
        <v/>
      </c>
      <c r="FD8" s="265">
        <f>'ปฏิทิน'!FD3</f>
        <v/>
      </c>
      <c r="FE8" s="265">
        <f>'ปฏิทิน'!FE3</f>
        <v/>
      </c>
      <c r="FF8" s="265">
        <f>'ปฏิทิน'!FF3</f>
        <v/>
      </c>
      <c r="FG8" s="265">
        <f>'ปฏิทิน'!FG3</f>
        <v/>
      </c>
      <c r="FH8" s="265">
        <f>'ปฏิทิน'!FH3</f>
        <v/>
      </c>
      <c r="FI8" s="265">
        <f>'ปฏิทิน'!FI3</f>
        <v/>
      </c>
      <c r="FJ8" s="265">
        <f>'ปฏิทิน'!FJ3</f>
        <v/>
      </c>
      <c r="FK8" s="265">
        <f>'ปฏิทิน'!FK3</f>
        <v/>
      </c>
      <c r="FL8" s="265">
        <f>'ปฏิทิน'!FL3</f>
        <v/>
      </c>
      <c r="FM8" s="265">
        <f>'ปฏิทิน'!FM3</f>
        <v/>
      </c>
      <c r="FN8" s="265">
        <f>'ปฏิทิน'!FN3</f>
        <v/>
      </c>
      <c r="FO8" s="693" t="n"/>
      <c r="FR8" s="694">
        <f>'ปฏิทิน'!FR3</f>
        <v/>
      </c>
      <c r="FS8" s="265">
        <f>'ปฏิทิน'!FS3</f>
        <v/>
      </c>
      <c r="FT8" s="265">
        <f>'ปฏิทิน'!FT3</f>
        <v/>
      </c>
      <c r="FU8" s="265">
        <f>'ปฏิทิน'!FU3</f>
        <v/>
      </c>
      <c r="FV8" s="265">
        <f>'ปฏิทิน'!FV3</f>
        <v/>
      </c>
      <c r="FW8" s="265">
        <f>'ปฏิทิน'!FW3</f>
        <v/>
      </c>
      <c r="FX8" s="265">
        <f>'ปฏิทิน'!FX3</f>
        <v/>
      </c>
      <c r="FY8" s="265">
        <f>'ปฏิทิน'!FY3</f>
        <v/>
      </c>
      <c r="FZ8" s="265">
        <f>'ปฏิทิน'!FZ3</f>
        <v/>
      </c>
      <c r="GA8" s="265">
        <f>'ปฏิทิน'!GA3</f>
        <v/>
      </c>
      <c r="GB8" s="265">
        <f>'ปฏิทิน'!GB3</f>
        <v/>
      </c>
      <c r="GC8" s="265">
        <f>'ปฏิทิน'!GC3</f>
        <v/>
      </c>
      <c r="GD8" s="265">
        <f>'ปฏิทิน'!GD3</f>
        <v/>
      </c>
      <c r="GE8" s="265">
        <f>'ปฏิทิน'!GE3</f>
        <v/>
      </c>
      <c r="GF8" s="265">
        <f>'ปฏิทิน'!GF3</f>
        <v/>
      </c>
      <c r="GG8" s="265">
        <f>'ปฏิทิน'!GG3</f>
        <v/>
      </c>
      <c r="GH8" s="265">
        <f>'ปฏิทิน'!GH3</f>
        <v/>
      </c>
      <c r="GI8" s="265">
        <f>'ปฏิทิน'!GI3</f>
        <v/>
      </c>
      <c r="GJ8" s="265">
        <f>'ปฏิทิน'!GJ3</f>
        <v/>
      </c>
      <c r="GK8" s="265">
        <f>'ปฏิทิน'!GK3</f>
        <v/>
      </c>
      <c r="GL8" s="265">
        <f>'ปฏิทิน'!GL3</f>
        <v/>
      </c>
      <c r="GM8" s="265">
        <f>'ปฏิทิน'!GM3</f>
        <v/>
      </c>
      <c r="GN8" s="265">
        <f>'ปฏิทิน'!GN3</f>
        <v/>
      </c>
      <c r="GO8" s="265">
        <f>'ปฏิทิน'!GO3</f>
        <v/>
      </c>
      <c r="GP8" s="265">
        <f>'ปฏิทิน'!GP3</f>
        <v/>
      </c>
      <c r="GQ8" s="265">
        <f>'ปฏิทิน'!GQ3</f>
        <v/>
      </c>
      <c r="GR8" s="265">
        <f>'ปฏิทิน'!GR3</f>
        <v/>
      </c>
      <c r="GS8" s="265">
        <f>'ปฏิทิน'!GS3</f>
        <v/>
      </c>
      <c r="GT8" s="265">
        <f>'ปฏิทิน'!GT3</f>
        <v/>
      </c>
      <c r="GU8" s="265">
        <f>'ปฏิทิน'!GU3</f>
        <v/>
      </c>
      <c r="GV8" s="265">
        <f>'ปฏิทิน'!GV3</f>
        <v/>
      </c>
      <c r="GW8" s="693" t="n"/>
    </row>
    <row r="9">
      <c r="A9" s="218" t="n">
        <v>1</v>
      </c>
      <c r="B9" s="219">
        <f>'ข้อมูลนักเรียน'!T9</f>
        <v/>
      </c>
      <c r="C9" s="695" t="n"/>
      <c r="D9" s="696" t="n"/>
      <c r="E9" s="697" t="n"/>
      <c r="F9" s="697" t="n"/>
      <c r="G9" s="697" t="n"/>
      <c r="H9" s="697" t="n"/>
      <c r="I9" s="697" t="n"/>
      <c r="J9" s="697" t="n"/>
      <c r="K9" s="697" t="n"/>
      <c r="L9" s="697" t="n"/>
      <c r="M9" s="697" t="n"/>
      <c r="N9" s="697" t="n"/>
      <c r="O9" s="697" t="n"/>
      <c r="P9" s="697" t="n"/>
      <c r="Q9" s="697" t="n"/>
      <c r="R9" s="697" t="n"/>
      <c r="S9" s="697" t="n"/>
      <c r="T9" s="697" t="n"/>
      <c r="U9" s="697" t="n"/>
      <c r="V9" s="697" t="n"/>
      <c r="W9" s="697" t="n"/>
      <c r="X9" s="697" t="n"/>
      <c r="Y9" s="697" t="n"/>
      <c r="Z9" s="697" t="n"/>
      <c r="AA9" s="697" t="n"/>
      <c r="AB9" s="697" t="n"/>
      <c r="AC9" s="697" t="n"/>
      <c r="AD9" s="697" t="n"/>
      <c r="AE9" s="697" t="n"/>
      <c r="AF9" s="697" t="n"/>
      <c r="AG9" s="697" t="n"/>
      <c r="AH9" s="697" t="n"/>
      <c r="AI9" s="698">
        <f>IF($B9="","",SUM(D9:AH9))</f>
        <v/>
      </c>
      <c r="AJ9" s="699">
        <f>IF($B9="","",SUMIFS('ถอนเงิน'!$E$7:$E$306,'ถอนเงิน'!$C$7:$C$306,$A9,'ถอนเงิน'!$B$7:$B$306,"พฤษภาคม"))</f>
        <v/>
      </c>
      <c r="AK9" s="700">
        <f>IF($B9="","",N(C9)+N(AI9)-N(AJ9))</f>
        <v/>
      </c>
      <c r="AL9" s="696" t="n"/>
      <c r="AM9" s="697" t="n"/>
      <c r="AN9" s="697" t="n"/>
      <c r="AO9" s="697" t="n"/>
      <c r="AP9" s="697" t="n"/>
      <c r="AQ9" s="697" t="n"/>
      <c r="AR9" s="697" t="n"/>
      <c r="AS9" s="697" t="n"/>
      <c r="AT9" s="697" t="n"/>
      <c r="AU9" s="697" t="n"/>
      <c r="AV9" s="697" t="n"/>
      <c r="AW9" s="697" t="n"/>
      <c r="AX9" s="697" t="n"/>
      <c r="AY9" s="697" t="n"/>
      <c r="AZ9" s="697" t="n"/>
      <c r="BA9" s="697" t="n"/>
      <c r="BB9" s="697" t="n"/>
      <c r="BC9" s="697" t="n"/>
      <c r="BD9" s="697" t="n"/>
      <c r="BE9" s="697" t="n"/>
      <c r="BF9" s="697" t="n"/>
      <c r="BG9" s="697" t="n"/>
      <c r="BH9" s="697" t="n"/>
      <c r="BI9" s="697" t="n"/>
      <c r="BJ9" s="697" t="n"/>
      <c r="BK9" s="697" t="n"/>
      <c r="BL9" s="697" t="n"/>
      <c r="BM9" s="697" t="n"/>
      <c r="BN9" s="697" t="n"/>
      <c r="BO9" s="697" t="n"/>
      <c r="BP9" s="697" t="n"/>
      <c r="BQ9" s="698">
        <f>IF($B9="","",SUM(AL9:BP9))</f>
        <v/>
      </c>
      <c r="BR9" s="699">
        <f>IF($B9="","",SUMIFS('ถอนเงิน'!$E$7:$E$306,'ถอนเงิน'!$C$7:$C$306,$A9,'ถอนเงิน'!$B$7:$B$306,"มิถุนายน"))</f>
        <v/>
      </c>
      <c r="BS9" s="700">
        <f>IF($B9="","",N(AK9)+N(BQ9)-N(BR9))</f>
        <v/>
      </c>
      <c r="BT9" s="696" t="n"/>
      <c r="BU9" s="697" t="n"/>
      <c r="BV9" s="697" t="n"/>
      <c r="BW9" s="697" t="n"/>
      <c r="BX9" s="697" t="n"/>
      <c r="BY9" s="697" t="n"/>
      <c r="BZ9" s="697" t="n"/>
      <c r="CA9" s="697" t="n"/>
      <c r="CB9" s="697" t="n"/>
      <c r="CC9" s="697" t="n"/>
      <c r="CD9" s="697" t="n"/>
      <c r="CE9" s="697" t="n"/>
      <c r="CF9" s="697" t="n"/>
      <c r="CG9" s="697" t="n"/>
      <c r="CH9" s="697" t="n"/>
      <c r="CI9" s="697" t="n"/>
      <c r="CJ9" s="697" t="n"/>
      <c r="CK9" s="697" t="n"/>
      <c r="CL9" s="697" t="n"/>
      <c r="CM9" s="697" t="n"/>
      <c r="CN9" s="697" t="n"/>
      <c r="CO9" s="697" t="n"/>
      <c r="CP9" s="697" t="n"/>
      <c r="CQ9" s="697" t="n"/>
      <c r="CR9" s="697" t="n"/>
      <c r="CS9" s="697" t="n"/>
      <c r="CT9" s="697" t="n"/>
      <c r="CU9" s="697" t="n"/>
      <c r="CV9" s="697" t="n"/>
      <c r="CW9" s="697" t="n"/>
      <c r="CX9" s="697" t="n"/>
      <c r="CY9" s="698">
        <f>IF($B9="","",SUM(BT9:CX9))</f>
        <v/>
      </c>
      <c r="CZ9" s="699">
        <f>IF($B9="","",SUMIFS('ถอนเงิน'!$E$7:$E$306,'ถอนเงิน'!$C$7:$C$306,$A9,'ถอนเงิน'!$B$7:$B$306,"กรกฎาคม"))</f>
        <v/>
      </c>
      <c r="DA9" s="700">
        <f>IF($B9="","",N(BS9)+N(CY9)-N(CZ9))</f>
        <v/>
      </c>
      <c r="DB9" s="696" t="n"/>
      <c r="DC9" s="697" t="n"/>
      <c r="DD9" s="697" t="n"/>
      <c r="DE9" s="697" t="n"/>
      <c r="DF9" s="697" t="n"/>
      <c r="DG9" s="697" t="n"/>
      <c r="DH9" s="697" t="n"/>
      <c r="DI9" s="697" t="n"/>
      <c r="DJ9" s="697" t="n"/>
      <c r="DK9" s="697" t="n"/>
      <c r="DL9" s="697" t="n"/>
      <c r="DM9" s="697" t="n"/>
      <c r="DN9" s="697" t="n"/>
      <c r="DO9" s="697" t="n"/>
      <c r="DP9" s="697" t="n"/>
      <c r="DQ9" s="697" t="n"/>
      <c r="DR9" s="697" t="n"/>
      <c r="DS9" s="697" t="n"/>
      <c r="DT9" s="697" t="n"/>
      <c r="DU9" s="697" t="n"/>
      <c r="DV9" s="697" t="n"/>
      <c r="DW9" s="697" t="n"/>
      <c r="DX9" s="697" t="n"/>
      <c r="DY9" s="697" t="n"/>
      <c r="DZ9" s="697" t="n"/>
      <c r="EA9" s="697" t="n"/>
      <c r="EB9" s="697" t="n"/>
      <c r="EC9" s="697" t="n"/>
      <c r="ED9" s="697" t="n"/>
      <c r="EE9" s="697" t="n"/>
      <c r="EF9" s="697" t="n"/>
      <c r="EG9" s="698">
        <f>IF($B9="","",SUM(DB9:EF9))</f>
        <v/>
      </c>
      <c r="EH9" s="699">
        <f>IF($B9="","",SUMIFS('ถอนเงิน'!$E$7:$E$306,'ถอนเงิน'!$C$7:$C$306,$A9,'ถอนเงิน'!$B$7:$B$306,"สิงหาคม"))</f>
        <v/>
      </c>
      <c r="EI9" s="700">
        <f>IF($B9="","",N(DA9)+N(EG9)-N(EH9))</f>
        <v/>
      </c>
      <c r="EJ9" s="696" t="n"/>
      <c r="EK9" s="697" t="n"/>
      <c r="EL9" s="697" t="n"/>
      <c r="EM9" s="697" t="n"/>
      <c r="EN9" s="697" t="n"/>
      <c r="EO9" s="697" t="n"/>
      <c r="EP9" s="697" t="n"/>
      <c r="EQ9" s="697" t="n"/>
      <c r="ER9" s="697" t="n"/>
      <c r="ES9" s="697" t="n"/>
      <c r="ET9" s="697" t="n"/>
      <c r="EU9" s="697" t="n"/>
      <c r="EV9" s="697" t="n"/>
      <c r="EW9" s="697" t="n"/>
      <c r="EX9" s="697" t="n"/>
      <c r="EY9" s="697" t="n"/>
      <c r="EZ9" s="697" t="n"/>
      <c r="FA9" s="697" t="n"/>
      <c r="FB9" s="697" t="n"/>
      <c r="FC9" s="697" t="n"/>
      <c r="FD9" s="697" t="n"/>
      <c r="FE9" s="697" t="n"/>
      <c r="FF9" s="697" t="n"/>
      <c r="FG9" s="697" t="n"/>
      <c r="FH9" s="697" t="n"/>
      <c r="FI9" s="697" t="n"/>
      <c r="FJ9" s="697" t="n"/>
      <c r="FK9" s="697" t="n"/>
      <c r="FL9" s="697" t="n"/>
      <c r="FM9" s="697" t="n"/>
      <c r="FN9" s="697" t="n"/>
      <c r="FO9" s="698">
        <f>IF($B9="","",SUM(EJ9:FN9))</f>
        <v/>
      </c>
      <c r="FP9" s="699">
        <f>IF($B9="","",SUMIFS('ถอนเงิน'!$E$7:$E$306,'ถอนเงิน'!$C$7:$C$306,$A9,'ถอนเงิน'!$B$7:$B$306,"กันยายน"))</f>
        <v/>
      </c>
      <c r="FQ9" s="700">
        <f>IF($B9="","",N(EI9)+N(FO9)-N(FP9))</f>
        <v/>
      </c>
      <c r="FR9" s="696" t="n"/>
      <c r="FS9" s="697" t="n"/>
      <c r="FT9" s="697" t="n"/>
      <c r="FU9" s="697" t="n"/>
      <c r="FV9" s="697" t="n"/>
      <c r="FW9" s="697" t="n"/>
      <c r="FX9" s="697" t="n"/>
      <c r="FY9" s="697" t="n"/>
      <c r="FZ9" s="697" t="n"/>
      <c r="GA9" s="697" t="n"/>
      <c r="GB9" s="697" t="n"/>
      <c r="GC9" s="697" t="n"/>
      <c r="GD9" s="697" t="n"/>
      <c r="GE9" s="697" t="n"/>
      <c r="GF9" s="697" t="n"/>
      <c r="GG9" s="697" t="n"/>
      <c r="GH9" s="697" t="n"/>
      <c r="GI9" s="697" t="n"/>
      <c r="GJ9" s="697" t="n"/>
      <c r="GK9" s="697" t="n"/>
      <c r="GL9" s="697" t="n"/>
      <c r="GM9" s="697" t="n"/>
      <c r="GN9" s="697" t="n"/>
      <c r="GO9" s="697" t="n"/>
      <c r="GP9" s="697" t="n"/>
      <c r="GQ9" s="697" t="n"/>
      <c r="GR9" s="697" t="n"/>
      <c r="GS9" s="697" t="n"/>
      <c r="GT9" s="697" t="n"/>
      <c r="GU9" s="697" t="n"/>
      <c r="GV9" s="697" t="n"/>
      <c r="GW9" s="698">
        <f>IF($B9="","",SUM(FR9:GV9))</f>
        <v/>
      </c>
      <c r="GX9" s="699">
        <f>IF($B9="","",SUMIFS('ถอนเงิน'!$E$7:$E$306,'ถอนเงิน'!$C$7:$C$306,$A9,'ถอนเงิน'!$B$7:$B$306,"ตุลาคม"))</f>
        <v/>
      </c>
      <c r="GY9" s="700">
        <f>IF($B9="","",N(FQ9)+N(GW9)-N(GX9))</f>
        <v/>
      </c>
    </row>
    <row r="10">
      <c r="A10" s="226" t="n">
        <v>2</v>
      </c>
      <c r="B10" s="227">
        <f>'ข้อมูลนักเรียน'!T10</f>
        <v/>
      </c>
      <c r="C10" s="695" t="n"/>
      <c r="D10" s="696" t="n"/>
      <c r="E10" s="697" t="n"/>
      <c r="F10" s="697" t="n"/>
      <c r="G10" s="697" t="n"/>
      <c r="H10" s="697" t="n"/>
      <c r="I10" s="697" t="n"/>
      <c r="J10" s="697" t="n"/>
      <c r="K10" s="697" t="n"/>
      <c r="L10" s="697" t="n"/>
      <c r="M10" s="697" t="n"/>
      <c r="N10" s="697" t="n"/>
      <c r="O10" s="697" t="n"/>
      <c r="P10" s="697" t="n"/>
      <c r="Q10" s="697" t="n"/>
      <c r="R10" s="697" t="n"/>
      <c r="S10" s="697" t="n"/>
      <c r="T10" s="697" t="n"/>
      <c r="U10" s="697" t="n"/>
      <c r="V10" s="697" t="n"/>
      <c r="W10" s="697" t="n"/>
      <c r="X10" s="697" t="n"/>
      <c r="Y10" s="697" t="n"/>
      <c r="Z10" s="697" t="n"/>
      <c r="AA10" s="697" t="n"/>
      <c r="AB10" s="697" t="n"/>
      <c r="AC10" s="697" t="n"/>
      <c r="AD10" s="697" t="n"/>
      <c r="AE10" s="697" t="n"/>
      <c r="AF10" s="697" t="n"/>
      <c r="AG10" s="697" t="n"/>
      <c r="AH10" s="697" t="n"/>
      <c r="AI10" s="698">
        <f>IF($B10="","",SUM(D10:AH10))</f>
        <v/>
      </c>
      <c r="AJ10" s="699">
        <f>IF($B10="","",SUMIFS('ถอนเงิน'!$E$7:$E$306,'ถอนเงิน'!$C$7:$C$306,$A10,'ถอนเงิน'!$B$7:$B$306,"พฤษภาคม"))</f>
        <v/>
      </c>
      <c r="AK10" s="700">
        <f>IF($B10="","",N(C10)+N(AI10)-N(AJ10))</f>
        <v/>
      </c>
      <c r="AL10" s="696" t="n"/>
      <c r="AM10" s="697" t="n"/>
      <c r="AN10" s="697" t="n"/>
      <c r="AO10" s="697" t="n"/>
      <c r="AP10" s="697" t="n"/>
      <c r="AQ10" s="697" t="n"/>
      <c r="AR10" s="697" t="n"/>
      <c r="AS10" s="697" t="n"/>
      <c r="AT10" s="697" t="n"/>
      <c r="AU10" s="697" t="n"/>
      <c r="AV10" s="697" t="n"/>
      <c r="AW10" s="697" t="n"/>
      <c r="AX10" s="697" t="n"/>
      <c r="AY10" s="697" t="n"/>
      <c r="AZ10" s="697" t="n"/>
      <c r="BA10" s="697" t="n"/>
      <c r="BB10" s="697" t="n"/>
      <c r="BC10" s="697" t="n"/>
      <c r="BD10" s="697" t="n"/>
      <c r="BE10" s="697" t="n"/>
      <c r="BF10" s="697" t="n"/>
      <c r="BG10" s="697" t="n"/>
      <c r="BH10" s="697" t="n"/>
      <c r="BI10" s="697" t="n"/>
      <c r="BJ10" s="697" t="n"/>
      <c r="BK10" s="697" t="n"/>
      <c r="BL10" s="697" t="n"/>
      <c r="BM10" s="697" t="n"/>
      <c r="BN10" s="697" t="n"/>
      <c r="BO10" s="697" t="n"/>
      <c r="BP10" s="697" t="n"/>
      <c r="BQ10" s="698">
        <f>IF($B10="","",SUM(AL10:BP10))</f>
        <v/>
      </c>
      <c r="BR10" s="699">
        <f>IF($B10="","",SUMIFS('ถอนเงิน'!$E$7:$E$306,'ถอนเงิน'!$C$7:$C$306,$A10,'ถอนเงิน'!$B$7:$B$306,"มิถุนายน"))</f>
        <v/>
      </c>
      <c r="BS10" s="700">
        <f>IF($B10="","",N(AK10)+N(BQ10)-N(BR10))</f>
        <v/>
      </c>
      <c r="BT10" s="696" t="n"/>
      <c r="BU10" s="697" t="n"/>
      <c r="BV10" s="697" t="n"/>
      <c r="BW10" s="697" t="n"/>
      <c r="BX10" s="697" t="n"/>
      <c r="BY10" s="697" t="n"/>
      <c r="BZ10" s="697" t="n"/>
      <c r="CA10" s="697" t="n"/>
      <c r="CB10" s="697" t="n"/>
      <c r="CC10" s="697" t="n"/>
      <c r="CD10" s="697" t="n"/>
      <c r="CE10" s="697" t="n"/>
      <c r="CF10" s="697" t="n"/>
      <c r="CG10" s="697" t="n"/>
      <c r="CH10" s="697" t="n"/>
      <c r="CI10" s="697" t="n"/>
      <c r="CJ10" s="697" t="n"/>
      <c r="CK10" s="697" t="n"/>
      <c r="CL10" s="697" t="n"/>
      <c r="CM10" s="697" t="n"/>
      <c r="CN10" s="697" t="n"/>
      <c r="CO10" s="697" t="n"/>
      <c r="CP10" s="697" t="n"/>
      <c r="CQ10" s="697" t="n"/>
      <c r="CR10" s="697" t="n"/>
      <c r="CS10" s="697" t="n"/>
      <c r="CT10" s="697" t="n"/>
      <c r="CU10" s="697" t="n"/>
      <c r="CV10" s="697" t="n"/>
      <c r="CW10" s="697" t="n"/>
      <c r="CX10" s="697" t="n"/>
      <c r="CY10" s="698">
        <f>IF($B10="","",SUM(BT10:CX10))</f>
        <v/>
      </c>
      <c r="CZ10" s="699">
        <f>IF($B10="","",SUMIFS('ถอนเงิน'!$E$7:$E$306,'ถอนเงิน'!$C$7:$C$306,$A10,'ถอนเงิน'!$B$7:$B$306,"กรกฎาคม"))</f>
        <v/>
      </c>
      <c r="DA10" s="700">
        <f>IF($B10="","",N(BS10)+N(CY10)-N(CZ10))</f>
        <v/>
      </c>
      <c r="DB10" s="696" t="n"/>
      <c r="DC10" s="697" t="n"/>
      <c r="DD10" s="697" t="n"/>
      <c r="DE10" s="697" t="n"/>
      <c r="DF10" s="697" t="n"/>
      <c r="DG10" s="697" t="n"/>
      <c r="DH10" s="697" t="n"/>
      <c r="DI10" s="697" t="n"/>
      <c r="DJ10" s="697" t="n"/>
      <c r="DK10" s="697" t="n"/>
      <c r="DL10" s="697" t="n"/>
      <c r="DM10" s="697" t="n"/>
      <c r="DN10" s="697" t="n"/>
      <c r="DO10" s="697" t="n"/>
      <c r="DP10" s="697" t="n"/>
      <c r="DQ10" s="697" t="n"/>
      <c r="DR10" s="697" t="n"/>
      <c r="DS10" s="697" t="n"/>
      <c r="DT10" s="697" t="n"/>
      <c r="DU10" s="697" t="n"/>
      <c r="DV10" s="697" t="n"/>
      <c r="DW10" s="697" t="n"/>
      <c r="DX10" s="697" t="n"/>
      <c r="DY10" s="697" t="n"/>
      <c r="DZ10" s="697" t="n"/>
      <c r="EA10" s="697" t="n"/>
      <c r="EB10" s="697" t="n"/>
      <c r="EC10" s="697" t="n"/>
      <c r="ED10" s="697" t="n"/>
      <c r="EE10" s="697" t="n"/>
      <c r="EF10" s="697" t="n"/>
      <c r="EG10" s="698">
        <f>IF($B10="","",SUM(DB10:EF10))</f>
        <v/>
      </c>
      <c r="EH10" s="699">
        <f>IF($B10="","",SUMIFS('ถอนเงิน'!$E$7:$E$306,'ถอนเงิน'!$C$7:$C$306,$A10,'ถอนเงิน'!$B$7:$B$306,"สิงหาคม"))</f>
        <v/>
      </c>
      <c r="EI10" s="700">
        <f>IF($B10="","",N(DA10)+N(EG10)-N(EH10))</f>
        <v/>
      </c>
      <c r="EJ10" s="696" t="n"/>
      <c r="EK10" s="697" t="n"/>
      <c r="EL10" s="697" t="n"/>
      <c r="EM10" s="697" t="n"/>
      <c r="EN10" s="697" t="n"/>
      <c r="EO10" s="697" t="n"/>
      <c r="EP10" s="697" t="n"/>
      <c r="EQ10" s="697" t="n"/>
      <c r="ER10" s="697" t="n"/>
      <c r="ES10" s="697" t="n"/>
      <c r="ET10" s="697" t="n"/>
      <c r="EU10" s="697" t="n"/>
      <c r="EV10" s="697" t="n"/>
      <c r="EW10" s="697" t="n"/>
      <c r="EX10" s="697" t="n"/>
      <c r="EY10" s="697" t="n"/>
      <c r="EZ10" s="697" t="n"/>
      <c r="FA10" s="697" t="n"/>
      <c r="FB10" s="697" t="n"/>
      <c r="FC10" s="697" t="n"/>
      <c r="FD10" s="697" t="n"/>
      <c r="FE10" s="697" t="n"/>
      <c r="FF10" s="697" t="n"/>
      <c r="FG10" s="697" t="n"/>
      <c r="FH10" s="697" t="n"/>
      <c r="FI10" s="697" t="n"/>
      <c r="FJ10" s="697" t="n"/>
      <c r="FK10" s="697" t="n"/>
      <c r="FL10" s="697" t="n"/>
      <c r="FM10" s="697" t="n"/>
      <c r="FN10" s="697" t="n"/>
      <c r="FO10" s="698">
        <f>IF($B10="","",SUM(EJ10:FN10))</f>
        <v/>
      </c>
      <c r="FP10" s="699">
        <f>IF($B10="","",SUMIFS('ถอนเงิน'!$E$7:$E$306,'ถอนเงิน'!$C$7:$C$306,$A10,'ถอนเงิน'!$B$7:$B$306,"กันยายน"))</f>
        <v/>
      </c>
      <c r="FQ10" s="700">
        <f>IF($B10="","",N(EI10)+N(FO10)-N(FP10))</f>
        <v/>
      </c>
      <c r="FR10" s="696" t="n"/>
      <c r="FS10" s="697" t="n"/>
      <c r="FT10" s="697" t="n"/>
      <c r="FU10" s="697" t="n"/>
      <c r="FV10" s="697" t="n"/>
      <c r="FW10" s="697" t="n"/>
      <c r="FX10" s="697" t="n"/>
      <c r="FY10" s="697" t="n"/>
      <c r="FZ10" s="697" t="n"/>
      <c r="GA10" s="697" t="n"/>
      <c r="GB10" s="697" t="n"/>
      <c r="GC10" s="697" t="n"/>
      <c r="GD10" s="697" t="n"/>
      <c r="GE10" s="697" t="n"/>
      <c r="GF10" s="697" t="n"/>
      <c r="GG10" s="697" t="n"/>
      <c r="GH10" s="697" t="n"/>
      <c r="GI10" s="697" t="n"/>
      <c r="GJ10" s="697" t="n"/>
      <c r="GK10" s="697" t="n"/>
      <c r="GL10" s="697" t="n"/>
      <c r="GM10" s="697" t="n"/>
      <c r="GN10" s="697" t="n"/>
      <c r="GO10" s="697" t="n"/>
      <c r="GP10" s="697" t="n"/>
      <c r="GQ10" s="697" t="n"/>
      <c r="GR10" s="697" t="n"/>
      <c r="GS10" s="697" t="n"/>
      <c r="GT10" s="697" t="n"/>
      <c r="GU10" s="697" t="n"/>
      <c r="GV10" s="697" t="n"/>
      <c r="GW10" s="698">
        <f>IF($B10="","",SUM(FR10:GV10))</f>
        <v/>
      </c>
      <c r="GX10" s="699">
        <f>IF($B10="","",SUMIFS('ถอนเงิน'!$E$7:$E$306,'ถอนเงิน'!$C$7:$C$306,$A10,'ถอนเงิน'!$B$7:$B$306,"ตุลาคม"))</f>
        <v/>
      </c>
      <c r="GY10" s="700">
        <f>IF($B10="","",N(FQ10)+N(GW10)-N(GX10))</f>
        <v/>
      </c>
    </row>
    <row r="11">
      <c r="A11" s="218" t="n">
        <v>3</v>
      </c>
      <c r="B11" s="219">
        <f>'ข้อมูลนักเรียน'!T11</f>
        <v/>
      </c>
      <c r="C11" s="695" t="n"/>
      <c r="D11" s="696" t="n"/>
      <c r="E11" s="697" t="n"/>
      <c r="F11" s="697" t="n"/>
      <c r="G11" s="697" t="n"/>
      <c r="H11" s="697" t="n"/>
      <c r="I11" s="697" t="n"/>
      <c r="J11" s="697" t="n"/>
      <c r="K11" s="697" t="n"/>
      <c r="L11" s="697" t="n"/>
      <c r="M11" s="697" t="n"/>
      <c r="N11" s="697" t="n"/>
      <c r="O11" s="697" t="n"/>
      <c r="P11" s="697" t="n"/>
      <c r="Q11" s="697" t="n"/>
      <c r="R11" s="697" t="n"/>
      <c r="S11" s="697" t="n"/>
      <c r="T11" s="697" t="n"/>
      <c r="U11" s="697" t="n"/>
      <c r="V11" s="697" t="n"/>
      <c r="W11" s="697" t="n"/>
      <c r="X11" s="697" t="n"/>
      <c r="Y11" s="697" t="n"/>
      <c r="Z11" s="697" t="n"/>
      <c r="AA11" s="697" t="n"/>
      <c r="AB11" s="697" t="n"/>
      <c r="AC11" s="697" t="n"/>
      <c r="AD11" s="697" t="n"/>
      <c r="AE11" s="697" t="n"/>
      <c r="AF11" s="697" t="n"/>
      <c r="AG11" s="697" t="n"/>
      <c r="AH11" s="697" t="n"/>
      <c r="AI11" s="698">
        <f>IF($B11="","",SUM(D11:AH11))</f>
        <v/>
      </c>
      <c r="AJ11" s="699">
        <f>IF($B11="","",SUMIFS('ถอนเงิน'!$E$7:$E$306,'ถอนเงิน'!$C$7:$C$306,$A11,'ถอนเงิน'!$B$7:$B$306,"พฤษภาคม"))</f>
        <v/>
      </c>
      <c r="AK11" s="700">
        <f>IF($B11="","",N(C11)+N(AI11)-N(AJ11))</f>
        <v/>
      </c>
      <c r="AL11" s="696" t="n"/>
      <c r="AM11" s="697" t="n"/>
      <c r="AN11" s="697" t="n"/>
      <c r="AO11" s="697" t="n"/>
      <c r="AP11" s="697" t="n"/>
      <c r="AQ11" s="697" t="n"/>
      <c r="AR11" s="697" t="n"/>
      <c r="AS11" s="697" t="n"/>
      <c r="AT11" s="697" t="n"/>
      <c r="AU11" s="697" t="n"/>
      <c r="AV11" s="697" t="n"/>
      <c r="AW11" s="697" t="n"/>
      <c r="AX11" s="697" t="n"/>
      <c r="AY11" s="697" t="n"/>
      <c r="AZ11" s="697" t="n"/>
      <c r="BA11" s="697" t="n"/>
      <c r="BB11" s="697" t="n"/>
      <c r="BC11" s="697" t="n"/>
      <c r="BD11" s="697" t="n"/>
      <c r="BE11" s="697" t="n"/>
      <c r="BF11" s="697" t="n"/>
      <c r="BG11" s="697" t="n"/>
      <c r="BH11" s="697" t="n"/>
      <c r="BI11" s="697" t="n"/>
      <c r="BJ11" s="697" t="n"/>
      <c r="BK11" s="697" t="n"/>
      <c r="BL11" s="697" t="n"/>
      <c r="BM11" s="697" t="n"/>
      <c r="BN11" s="697" t="n"/>
      <c r="BO11" s="697" t="n"/>
      <c r="BP11" s="697" t="n"/>
      <c r="BQ11" s="698">
        <f>IF($B11="","",SUM(AL11:BP11))</f>
        <v/>
      </c>
      <c r="BR11" s="699">
        <f>IF($B11="","",SUMIFS('ถอนเงิน'!$E$7:$E$306,'ถอนเงิน'!$C$7:$C$306,$A11,'ถอนเงิน'!$B$7:$B$306,"มิถุนายน"))</f>
        <v/>
      </c>
      <c r="BS11" s="700">
        <f>IF($B11="","",N(AK11)+N(BQ11)-N(BR11))</f>
        <v/>
      </c>
      <c r="BT11" s="696" t="n"/>
      <c r="BU11" s="697" t="n"/>
      <c r="BV11" s="697" t="n"/>
      <c r="BW11" s="697" t="n"/>
      <c r="BX11" s="697" t="n"/>
      <c r="BY11" s="697" t="n"/>
      <c r="BZ11" s="697" t="n"/>
      <c r="CA11" s="697" t="n"/>
      <c r="CB11" s="697" t="n"/>
      <c r="CC11" s="697" t="n"/>
      <c r="CD11" s="697" t="n"/>
      <c r="CE11" s="697" t="n"/>
      <c r="CF11" s="697" t="n"/>
      <c r="CG11" s="697" t="n"/>
      <c r="CH11" s="697" t="n"/>
      <c r="CI11" s="697" t="n"/>
      <c r="CJ11" s="697" t="n"/>
      <c r="CK11" s="697" t="n"/>
      <c r="CL11" s="697" t="n"/>
      <c r="CM11" s="697" t="n"/>
      <c r="CN11" s="697" t="n"/>
      <c r="CO11" s="697" t="n"/>
      <c r="CP11" s="697" t="n"/>
      <c r="CQ11" s="697" t="n"/>
      <c r="CR11" s="697" t="n"/>
      <c r="CS11" s="697" t="n"/>
      <c r="CT11" s="697" t="n"/>
      <c r="CU11" s="697" t="n"/>
      <c r="CV11" s="697" t="n"/>
      <c r="CW11" s="697" t="n"/>
      <c r="CX11" s="697" t="n"/>
      <c r="CY11" s="698">
        <f>IF($B11="","",SUM(BT11:CX11))</f>
        <v/>
      </c>
      <c r="CZ11" s="699">
        <f>IF($B11="","",SUMIFS('ถอนเงิน'!$E$7:$E$306,'ถอนเงิน'!$C$7:$C$306,$A11,'ถอนเงิน'!$B$7:$B$306,"กรกฎาคม"))</f>
        <v/>
      </c>
      <c r="DA11" s="700">
        <f>IF($B11="","",N(BS11)+N(CY11)-N(CZ11))</f>
        <v/>
      </c>
      <c r="DB11" s="696" t="n"/>
      <c r="DC11" s="697" t="n"/>
      <c r="DD11" s="697" t="n"/>
      <c r="DE11" s="697" t="n"/>
      <c r="DF11" s="697" t="n"/>
      <c r="DG11" s="697" t="n"/>
      <c r="DH11" s="697" t="n"/>
      <c r="DI11" s="697" t="n"/>
      <c r="DJ11" s="697" t="n"/>
      <c r="DK11" s="697" t="n"/>
      <c r="DL11" s="697" t="n"/>
      <c r="DM11" s="697" t="n"/>
      <c r="DN11" s="697" t="n"/>
      <c r="DO11" s="697" t="n"/>
      <c r="DP11" s="697" t="n"/>
      <c r="DQ11" s="697" t="n"/>
      <c r="DR11" s="697" t="n"/>
      <c r="DS11" s="697" t="n"/>
      <c r="DT11" s="697" t="n"/>
      <c r="DU11" s="697" t="n"/>
      <c r="DV11" s="697" t="n"/>
      <c r="DW11" s="697" t="n"/>
      <c r="DX11" s="697" t="n"/>
      <c r="DY11" s="697" t="n"/>
      <c r="DZ11" s="697" t="n"/>
      <c r="EA11" s="697" t="n"/>
      <c r="EB11" s="697" t="n"/>
      <c r="EC11" s="697" t="n"/>
      <c r="ED11" s="697" t="n"/>
      <c r="EE11" s="697" t="n"/>
      <c r="EF11" s="697" t="n"/>
      <c r="EG11" s="698">
        <f>IF($B11="","",SUM(DB11:EF11))</f>
        <v/>
      </c>
      <c r="EH11" s="699">
        <f>IF($B11="","",SUMIFS('ถอนเงิน'!$E$7:$E$306,'ถอนเงิน'!$C$7:$C$306,$A11,'ถอนเงิน'!$B$7:$B$306,"สิงหาคม"))</f>
        <v/>
      </c>
      <c r="EI11" s="700">
        <f>IF($B11="","",N(DA11)+N(EG11)-N(EH11))</f>
        <v/>
      </c>
      <c r="EJ11" s="696" t="n"/>
      <c r="EK11" s="697" t="n"/>
      <c r="EL11" s="697" t="n"/>
      <c r="EM11" s="697" t="n"/>
      <c r="EN11" s="697" t="n"/>
      <c r="EO11" s="697" t="n"/>
      <c r="EP11" s="697" t="n"/>
      <c r="EQ11" s="697" t="n"/>
      <c r="ER11" s="697" t="n"/>
      <c r="ES11" s="697" t="n"/>
      <c r="ET11" s="697" t="n"/>
      <c r="EU11" s="697" t="n"/>
      <c r="EV11" s="697" t="n"/>
      <c r="EW11" s="697" t="n"/>
      <c r="EX11" s="697" t="n"/>
      <c r="EY11" s="697" t="n"/>
      <c r="EZ11" s="697" t="n"/>
      <c r="FA11" s="697" t="n"/>
      <c r="FB11" s="697" t="n"/>
      <c r="FC11" s="697" t="n"/>
      <c r="FD11" s="697" t="n"/>
      <c r="FE11" s="697" t="n"/>
      <c r="FF11" s="697" t="n"/>
      <c r="FG11" s="697" t="n"/>
      <c r="FH11" s="697" t="n"/>
      <c r="FI11" s="697" t="n"/>
      <c r="FJ11" s="697" t="n"/>
      <c r="FK11" s="697" t="n"/>
      <c r="FL11" s="697" t="n"/>
      <c r="FM11" s="697" t="n"/>
      <c r="FN11" s="697" t="n"/>
      <c r="FO11" s="698">
        <f>IF($B11="","",SUM(EJ11:FN11))</f>
        <v/>
      </c>
      <c r="FP11" s="699">
        <f>IF($B11="","",SUMIFS('ถอนเงิน'!$E$7:$E$306,'ถอนเงิน'!$C$7:$C$306,$A11,'ถอนเงิน'!$B$7:$B$306,"กันยายน"))</f>
        <v/>
      </c>
      <c r="FQ11" s="700">
        <f>IF($B11="","",N(EI11)+N(FO11)-N(FP11))</f>
        <v/>
      </c>
      <c r="FR11" s="696" t="n"/>
      <c r="FS11" s="697" t="n"/>
      <c r="FT11" s="697" t="n"/>
      <c r="FU11" s="697" t="n"/>
      <c r="FV11" s="697" t="n"/>
      <c r="FW11" s="697" t="n"/>
      <c r="FX11" s="697" t="n"/>
      <c r="FY11" s="697" t="n"/>
      <c r="FZ11" s="697" t="n"/>
      <c r="GA11" s="697" t="n"/>
      <c r="GB11" s="697" t="n"/>
      <c r="GC11" s="697" t="n"/>
      <c r="GD11" s="697" t="n"/>
      <c r="GE11" s="697" t="n"/>
      <c r="GF11" s="697" t="n"/>
      <c r="GG11" s="697" t="n"/>
      <c r="GH11" s="697" t="n"/>
      <c r="GI11" s="697" t="n"/>
      <c r="GJ11" s="697" t="n"/>
      <c r="GK11" s="697" t="n"/>
      <c r="GL11" s="697" t="n"/>
      <c r="GM11" s="697" t="n"/>
      <c r="GN11" s="697" t="n"/>
      <c r="GO11" s="697" t="n"/>
      <c r="GP11" s="697" t="n"/>
      <c r="GQ11" s="697" t="n"/>
      <c r="GR11" s="697" t="n"/>
      <c r="GS11" s="697" t="n"/>
      <c r="GT11" s="697" t="n"/>
      <c r="GU11" s="697" t="n"/>
      <c r="GV11" s="697" t="n"/>
      <c r="GW11" s="698">
        <f>IF($B11="","",SUM(FR11:GV11))</f>
        <v/>
      </c>
      <c r="GX11" s="699">
        <f>IF($B11="","",SUMIFS('ถอนเงิน'!$E$7:$E$306,'ถอนเงิน'!$C$7:$C$306,$A11,'ถอนเงิน'!$B$7:$B$306,"ตุลาคม"))</f>
        <v/>
      </c>
      <c r="GY11" s="700">
        <f>IF($B11="","",N(FQ11)+N(GW11)-N(GX11))</f>
        <v/>
      </c>
    </row>
    <row r="12">
      <c r="A12" s="226" t="n">
        <v>4</v>
      </c>
      <c r="B12" s="227">
        <f>'ข้อมูลนักเรียน'!T12</f>
        <v/>
      </c>
      <c r="C12" s="695" t="n"/>
      <c r="D12" s="696" t="n"/>
      <c r="E12" s="697" t="n"/>
      <c r="F12" s="697" t="n"/>
      <c r="G12" s="697" t="n"/>
      <c r="H12" s="697" t="n"/>
      <c r="I12" s="697" t="n"/>
      <c r="J12" s="697" t="n"/>
      <c r="K12" s="697" t="n"/>
      <c r="L12" s="697" t="n"/>
      <c r="M12" s="697" t="n"/>
      <c r="N12" s="697" t="n"/>
      <c r="O12" s="697" t="n"/>
      <c r="P12" s="697" t="n"/>
      <c r="Q12" s="697" t="n"/>
      <c r="R12" s="697" t="n"/>
      <c r="S12" s="697" t="n"/>
      <c r="T12" s="697" t="n"/>
      <c r="U12" s="697" t="n"/>
      <c r="V12" s="697" t="n"/>
      <c r="W12" s="697" t="n"/>
      <c r="X12" s="697" t="n"/>
      <c r="Y12" s="697" t="n"/>
      <c r="Z12" s="697" t="n"/>
      <c r="AA12" s="697" t="n"/>
      <c r="AB12" s="697" t="n"/>
      <c r="AC12" s="697" t="n"/>
      <c r="AD12" s="697" t="n"/>
      <c r="AE12" s="697" t="n"/>
      <c r="AF12" s="697" t="n"/>
      <c r="AG12" s="697" t="n"/>
      <c r="AH12" s="697" t="n"/>
      <c r="AI12" s="698">
        <f>IF($B12="","",SUM(D12:AH12))</f>
        <v/>
      </c>
      <c r="AJ12" s="699">
        <f>IF($B12="","",SUMIFS('ถอนเงิน'!$E$7:$E$306,'ถอนเงิน'!$C$7:$C$306,$A12,'ถอนเงิน'!$B$7:$B$306,"พฤษภาคม"))</f>
        <v/>
      </c>
      <c r="AK12" s="700">
        <f>IF($B12="","",N(C12)+N(AI12)-N(AJ12))</f>
        <v/>
      </c>
      <c r="AL12" s="696" t="n"/>
      <c r="AM12" s="697" t="n"/>
      <c r="AN12" s="697" t="n"/>
      <c r="AO12" s="697" t="n"/>
      <c r="AP12" s="697" t="n"/>
      <c r="AQ12" s="697" t="n"/>
      <c r="AR12" s="697" t="n"/>
      <c r="AS12" s="697" t="n"/>
      <c r="AT12" s="697" t="n"/>
      <c r="AU12" s="697" t="n"/>
      <c r="AV12" s="697" t="n"/>
      <c r="AW12" s="697" t="n"/>
      <c r="AX12" s="697" t="n"/>
      <c r="AY12" s="697" t="n"/>
      <c r="AZ12" s="697" t="n"/>
      <c r="BA12" s="697" t="n"/>
      <c r="BB12" s="697" t="n"/>
      <c r="BC12" s="697" t="n"/>
      <c r="BD12" s="697" t="n"/>
      <c r="BE12" s="697" t="n"/>
      <c r="BF12" s="697" t="n"/>
      <c r="BG12" s="697" t="n"/>
      <c r="BH12" s="697" t="n"/>
      <c r="BI12" s="697" t="n"/>
      <c r="BJ12" s="697" t="n"/>
      <c r="BK12" s="697" t="n"/>
      <c r="BL12" s="697" t="n"/>
      <c r="BM12" s="697" t="n"/>
      <c r="BN12" s="697" t="n"/>
      <c r="BO12" s="697" t="n"/>
      <c r="BP12" s="697" t="n"/>
      <c r="BQ12" s="698">
        <f>IF($B12="","",SUM(AL12:BP12))</f>
        <v/>
      </c>
      <c r="BR12" s="699">
        <f>IF($B12="","",SUMIFS('ถอนเงิน'!$E$7:$E$306,'ถอนเงิน'!$C$7:$C$306,$A12,'ถอนเงิน'!$B$7:$B$306,"มิถุนายน"))</f>
        <v/>
      </c>
      <c r="BS12" s="700">
        <f>IF($B12="","",N(AK12)+N(BQ12)-N(BR12))</f>
        <v/>
      </c>
      <c r="BT12" s="696" t="n"/>
      <c r="BU12" s="697" t="n"/>
      <c r="BV12" s="697" t="n"/>
      <c r="BW12" s="697" t="n"/>
      <c r="BX12" s="697" t="n"/>
      <c r="BY12" s="697" t="n"/>
      <c r="BZ12" s="697" t="n"/>
      <c r="CA12" s="697" t="n"/>
      <c r="CB12" s="697" t="n"/>
      <c r="CC12" s="697" t="n"/>
      <c r="CD12" s="697" t="n"/>
      <c r="CE12" s="697" t="n"/>
      <c r="CF12" s="697" t="n"/>
      <c r="CG12" s="697" t="n"/>
      <c r="CH12" s="697" t="n"/>
      <c r="CI12" s="697" t="n"/>
      <c r="CJ12" s="697" t="n"/>
      <c r="CK12" s="697" t="n"/>
      <c r="CL12" s="697" t="n"/>
      <c r="CM12" s="697" t="n"/>
      <c r="CN12" s="697" t="n"/>
      <c r="CO12" s="697" t="n"/>
      <c r="CP12" s="697" t="n"/>
      <c r="CQ12" s="697" t="n"/>
      <c r="CR12" s="697" t="n"/>
      <c r="CS12" s="697" t="n"/>
      <c r="CT12" s="697" t="n"/>
      <c r="CU12" s="697" t="n"/>
      <c r="CV12" s="697" t="n"/>
      <c r="CW12" s="697" t="n"/>
      <c r="CX12" s="697" t="n"/>
      <c r="CY12" s="698">
        <f>IF($B12="","",SUM(BT12:CX12))</f>
        <v/>
      </c>
      <c r="CZ12" s="699">
        <f>IF($B12="","",SUMIFS('ถอนเงิน'!$E$7:$E$306,'ถอนเงิน'!$C$7:$C$306,$A12,'ถอนเงิน'!$B$7:$B$306,"กรกฎาคม"))</f>
        <v/>
      </c>
      <c r="DA12" s="700">
        <f>IF($B12="","",N(BS12)+N(CY12)-N(CZ12))</f>
        <v/>
      </c>
      <c r="DB12" s="696" t="n"/>
      <c r="DC12" s="697" t="n"/>
      <c r="DD12" s="697" t="n"/>
      <c r="DE12" s="697" t="n"/>
      <c r="DF12" s="697" t="n"/>
      <c r="DG12" s="697" t="n"/>
      <c r="DH12" s="697" t="n"/>
      <c r="DI12" s="697" t="n"/>
      <c r="DJ12" s="697" t="n"/>
      <c r="DK12" s="697" t="n"/>
      <c r="DL12" s="697" t="n"/>
      <c r="DM12" s="697" t="n"/>
      <c r="DN12" s="697" t="n"/>
      <c r="DO12" s="697" t="n"/>
      <c r="DP12" s="697" t="n"/>
      <c r="DQ12" s="697" t="n"/>
      <c r="DR12" s="697" t="n"/>
      <c r="DS12" s="697" t="n"/>
      <c r="DT12" s="697" t="n"/>
      <c r="DU12" s="697" t="n"/>
      <c r="DV12" s="697" t="n"/>
      <c r="DW12" s="697" t="n"/>
      <c r="DX12" s="697" t="n"/>
      <c r="DY12" s="697" t="n"/>
      <c r="DZ12" s="697" t="n"/>
      <c r="EA12" s="697" t="n"/>
      <c r="EB12" s="697" t="n"/>
      <c r="EC12" s="697" t="n"/>
      <c r="ED12" s="697" t="n"/>
      <c r="EE12" s="697" t="n"/>
      <c r="EF12" s="697" t="n"/>
      <c r="EG12" s="698">
        <f>IF($B12="","",SUM(DB12:EF12))</f>
        <v/>
      </c>
      <c r="EH12" s="699">
        <f>IF($B12="","",SUMIFS('ถอนเงิน'!$E$7:$E$306,'ถอนเงิน'!$C$7:$C$306,$A12,'ถอนเงิน'!$B$7:$B$306,"สิงหาคม"))</f>
        <v/>
      </c>
      <c r="EI12" s="700">
        <f>IF($B12="","",N(DA12)+N(EG12)-N(EH12))</f>
        <v/>
      </c>
      <c r="EJ12" s="696" t="n"/>
      <c r="EK12" s="697" t="n"/>
      <c r="EL12" s="697" t="n"/>
      <c r="EM12" s="697" t="n"/>
      <c r="EN12" s="697" t="n"/>
      <c r="EO12" s="697" t="n"/>
      <c r="EP12" s="697" t="n"/>
      <c r="EQ12" s="697" t="n"/>
      <c r="ER12" s="697" t="n"/>
      <c r="ES12" s="697" t="n"/>
      <c r="ET12" s="697" t="n"/>
      <c r="EU12" s="697" t="n"/>
      <c r="EV12" s="697" t="n"/>
      <c r="EW12" s="697" t="n"/>
      <c r="EX12" s="697" t="n"/>
      <c r="EY12" s="697" t="n"/>
      <c r="EZ12" s="697" t="n"/>
      <c r="FA12" s="697" t="n"/>
      <c r="FB12" s="697" t="n"/>
      <c r="FC12" s="697" t="n"/>
      <c r="FD12" s="697" t="n"/>
      <c r="FE12" s="697" t="n"/>
      <c r="FF12" s="697" t="n"/>
      <c r="FG12" s="697" t="n"/>
      <c r="FH12" s="697" t="n"/>
      <c r="FI12" s="697" t="n"/>
      <c r="FJ12" s="697" t="n"/>
      <c r="FK12" s="697" t="n"/>
      <c r="FL12" s="697" t="n"/>
      <c r="FM12" s="697" t="n"/>
      <c r="FN12" s="697" t="n"/>
      <c r="FO12" s="698">
        <f>IF($B12="","",SUM(EJ12:FN12))</f>
        <v/>
      </c>
      <c r="FP12" s="699">
        <f>IF($B12="","",SUMIFS('ถอนเงิน'!$E$7:$E$306,'ถอนเงิน'!$C$7:$C$306,$A12,'ถอนเงิน'!$B$7:$B$306,"กันยายน"))</f>
        <v/>
      </c>
      <c r="FQ12" s="700">
        <f>IF($B12="","",N(EI12)+N(FO12)-N(FP12))</f>
        <v/>
      </c>
      <c r="FR12" s="696" t="n"/>
      <c r="FS12" s="697" t="n"/>
      <c r="FT12" s="697" t="n"/>
      <c r="FU12" s="697" t="n"/>
      <c r="FV12" s="697" t="n"/>
      <c r="FW12" s="697" t="n"/>
      <c r="FX12" s="697" t="n"/>
      <c r="FY12" s="697" t="n"/>
      <c r="FZ12" s="697" t="n"/>
      <c r="GA12" s="697" t="n"/>
      <c r="GB12" s="697" t="n"/>
      <c r="GC12" s="697" t="n"/>
      <c r="GD12" s="697" t="n"/>
      <c r="GE12" s="697" t="n"/>
      <c r="GF12" s="697" t="n"/>
      <c r="GG12" s="697" t="n"/>
      <c r="GH12" s="697" t="n"/>
      <c r="GI12" s="697" t="n"/>
      <c r="GJ12" s="697" t="n"/>
      <c r="GK12" s="697" t="n"/>
      <c r="GL12" s="697" t="n"/>
      <c r="GM12" s="697" t="n"/>
      <c r="GN12" s="697" t="n"/>
      <c r="GO12" s="697" t="n"/>
      <c r="GP12" s="697" t="n"/>
      <c r="GQ12" s="697" t="n"/>
      <c r="GR12" s="697" t="n"/>
      <c r="GS12" s="697" t="n"/>
      <c r="GT12" s="697" t="n"/>
      <c r="GU12" s="697" t="n"/>
      <c r="GV12" s="697" t="n"/>
      <c r="GW12" s="698">
        <f>IF($B12="","",SUM(FR12:GV12))</f>
        <v/>
      </c>
      <c r="GX12" s="699">
        <f>IF($B12="","",SUMIFS('ถอนเงิน'!$E$7:$E$306,'ถอนเงิน'!$C$7:$C$306,$A12,'ถอนเงิน'!$B$7:$B$306,"ตุลาคม"))</f>
        <v/>
      </c>
      <c r="GY12" s="700">
        <f>IF($B12="","",N(FQ12)+N(GW12)-N(GX12))</f>
        <v/>
      </c>
    </row>
    <row r="13">
      <c r="A13" s="218" t="n">
        <v>5</v>
      </c>
      <c r="B13" s="219">
        <f>'ข้อมูลนักเรียน'!T13</f>
        <v/>
      </c>
      <c r="C13" s="695" t="n"/>
      <c r="D13" s="696" t="n"/>
      <c r="E13" s="697" t="n"/>
      <c r="F13" s="697" t="n"/>
      <c r="G13" s="697" t="n"/>
      <c r="H13" s="697" t="n"/>
      <c r="I13" s="697" t="n"/>
      <c r="J13" s="697" t="n"/>
      <c r="K13" s="697" t="n"/>
      <c r="L13" s="697" t="n"/>
      <c r="M13" s="697" t="n"/>
      <c r="N13" s="697" t="n"/>
      <c r="O13" s="697" t="n"/>
      <c r="P13" s="697" t="n"/>
      <c r="Q13" s="697" t="n"/>
      <c r="R13" s="697" t="n"/>
      <c r="S13" s="697" t="n"/>
      <c r="T13" s="697" t="n"/>
      <c r="U13" s="697" t="n"/>
      <c r="V13" s="697" t="n"/>
      <c r="W13" s="697" t="n"/>
      <c r="X13" s="697" t="n"/>
      <c r="Y13" s="697" t="n"/>
      <c r="Z13" s="697" t="n"/>
      <c r="AA13" s="697" t="n"/>
      <c r="AB13" s="697" t="n"/>
      <c r="AC13" s="697" t="n"/>
      <c r="AD13" s="697" t="n"/>
      <c r="AE13" s="697" t="n"/>
      <c r="AF13" s="697" t="n"/>
      <c r="AG13" s="697" t="n"/>
      <c r="AH13" s="697" t="n"/>
      <c r="AI13" s="698">
        <f>IF($B13="","",SUM(D13:AH13))</f>
        <v/>
      </c>
      <c r="AJ13" s="699">
        <f>IF($B13="","",SUMIFS('ถอนเงิน'!$E$7:$E$306,'ถอนเงิน'!$C$7:$C$306,$A13,'ถอนเงิน'!$B$7:$B$306,"พฤษภาคม"))</f>
        <v/>
      </c>
      <c r="AK13" s="700">
        <f>IF($B13="","",N(C13)+N(AI13)-N(AJ13))</f>
        <v/>
      </c>
      <c r="AL13" s="696" t="n"/>
      <c r="AM13" s="697" t="n"/>
      <c r="AN13" s="697" t="n"/>
      <c r="AO13" s="697" t="n"/>
      <c r="AP13" s="697" t="n"/>
      <c r="AQ13" s="697" t="n"/>
      <c r="AR13" s="697" t="n"/>
      <c r="AS13" s="697" t="n"/>
      <c r="AT13" s="697" t="n"/>
      <c r="AU13" s="697" t="n"/>
      <c r="AV13" s="697" t="n"/>
      <c r="AW13" s="697" t="n"/>
      <c r="AX13" s="697" t="n"/>
      <c r="AY13" s="697" t="n"/>
      <c r="AZ13" s="697" t="n"/>
      <c r="BA13" s="697" t="n"/>
      <c r="BB13" s="697" t="n"/>
      <c r="BC13" s="697" t="n"/>
      <c r="BD13" s="697" t="n"/>
      <c r="BE13" s="697" t="n"/>
      <c r="BF13" s="697" t="n"/>
      <c r="BG13" s="697" t="n"/>
      <c r="BH13" s="697" t="n"/>
      <c r="BI13" s="697" t="n"/>
      <c r="BJ13" s="697" t="n"/>
      <c r="BK13" s="697" t="n"/>
      <c r="BL13" s="697" t="n"/>
      <c r="BM13" s="697" t="n"/>
      <c r="BN13" s="697" t="n"/>
      <c r="BO13" s="697" t="n"/>
      <c r="BP13" s="697" t="n"/>
      <c r="BQ13" s="698">
        <f>IF($B13="","",SUM(AL13:BP13))</f>
        <v/>
      </c>
      <c r="BR13" s="699">
        <f>IF($B13="","",SUMIFS('ถอนเงิน'!$E$7:$E$306,'ถอนเงิน'!$C$7:$C$306,$A13,'ถอนเงิน'!$B$7:$B$306,"มิถุนายน"))</f>
        <v/>
      </c>
      <c r="BS13" s="700">
        <f>IF($B13="","",N(AK13)+N(BQ13)-N(BR13))</f>
        <v/>
      </c>
      <c r="BT13" s="696" t="n"/>
      <c r="BU13" s="697" t="n"/>
      <c r="BV13" s="697" t="n"/>
      <c r="BW13" s="697" t="n"/>
      <c r="BX13" s="697" t="n"/>
      <c r="BY13" s="697" t="n"/>
      <c r="BZ13" s="697" t="n"/>
      <c r="CA13" s="697" t="n"/>
      <c r="CB13" s="697" t="n"/>
      <c r="CC13" s="697" t="n"/>
      <c r="CD13" s="697" t="n"/>
      <c r="CE13" s="697" t="n"/>
      <c r="CF13" s="697" t="n"/>
      <c r="CG13" s="697" t="n"/>
      <c r="CH13" s="697" t="n"/>
      <c r="CI13" s="697" t="n"/>
      <c r="CJ13" s="697" t="n"/>
      <c r="CK13" s="697" t="n"/>
      <c r="CL13" s="697" t="n"/>
      <c r="CM13" s="697" t="n"/>
      <c r="CN13" s="697" t="n"/>
      <c r="CO13" s="697" t="n"/>
      <c r="CP13" s="697" t="n"/>
      <c r="CQ13" s="697" t="n"/>
      <c r="CR13" s="697" t="n"/>
      <c r="CS13" s="697" t="n"/>
      <c r="CT13" s="697" t="n"/>
      <c r="CU13" s="697" t="n"/>
      <c r="CV13" s="697" t="n"/>
      <c r="CW13" s="697" t="n"/>
      <c r="CX13" s="697" t="n"/>
      <c r="CY13" s="698">
        <f>IF($B13="","",SUM(BT13:CX13))</f>
        <v/>
      </c>
      <c r="CZ13" s="699">
        <f>IF($B13="","",SUMIFS('ถอนเงิน'!$E$7:$E$306,'ถอนเงิน'!$C$7:$C$306,$A13,'ถอนเงิน'!$B$7:$B$306,"กรกฎาคม"))</f>
        <v/>
      </c>
      <c r="DA13" s="700">
        <f>IF($B13="","",N(BS13)+N(CY13)-N(CZ13))</f>
        <v/>
      </c>
      <c r="DB13" s="696" t="n"/>
      <c r="DC13" s="697" t="n"/>
      <c r="DD13" s="697" t="n"/>
      <c r="DE13" s="697" t="n"/>
      <c r="DF13" s="697" t="n"/>
      <c r="DG13" s="697" t="n"/>
      <c r="DH13" s="697" t="n"/>
      <c r="DI13" s="697" t="n"/>
      <c r="DJ13" s="697" t="n"/>
      <c r="DK13" s="697" t="n"/>
      <c r="DL13" s="697" t="n"/>
      <c r="DM13" s="697" t="n"/>
      <c r="DN13" s="697" t="n"/>
      <c r="DO13" s="697" t="n"/>
      <c r="DP13" s="697" t="n"/>
      <c r="DQ13" s="697" t="n"/>
      <c r="DR13" s="697" t="n"/>
      <c r="DS13" s="697" t="n"/>
      <c r="DT13" s="697" t="n"/>
      <c r="DU13" s="697" t="n"/>
      <c r="DV13" s="697" t="n"/>
      <c r="DW13" s="697" t="n"/>
      <c r="DX13" s="697" t="n"/>
      <c r="DY13" s="697" t="n"/>
      <c r="DZ13" s="697" t="n"/>
      <c r="EA13" s="697" t="n"/>
      <c r="EB13" s="697" t="n"/>
      <c r="EC13" s="697" t="n"/>
      <c r="ED13" s="697" t="n"/>
      <c r="EE13" s="697" t="n"/>
      <c r="EF13" s="697" t="n"/>
      <c r="EG13" s="698">
        <f>IF($B13="","",SUM(DB13:EF13))</f>
        <v/>
      </c>
      <c r="EH13" s="699">
        <f>IF($B13="","",SUMIFS('ถอนเงิน'!$E$7:$E$306,'ถอนเงิน'!$C$7:$C$306,$A13,'ถอนเงิน'!$B$7:$B$306,"สิงหาคม"))</f>
        <v/>
      </c>
      <c r="EI13" s="700">
        <f>IF($B13="","",N(DA13)+N(EG13)-N(EH13))</f>
        <v/>
      </c>
      <c r="EJ13" s="696" t="n"/>
      <c r="EK13" s="697" t="n"/>
      <c r="EL13" s="697" t="n"/>
      <c r="EM13" s="697" t="n"/>
      <c r="EN13" s="697" t="n"/>
      <c r="EO13" s="697" t="n"/>
      <c r="EP13" s="697" t="n"/>
      <c r="EQ13" s="697" t="n"/>
      <c r="ER13" s="697" t="n"/>
      <c r="ES13" s="697" t="n"/>
      <c r="ET13" s="697" t="n"/>
      <c r="EU13" s="697" t="n"/>
      <c r="EV13" s="697" t="n"/>
      <c r="EW13" s="697" t="n"/>
      <c r="EX13" s="697" t="n"/>
      <c r="EY13" s="697" t="n"/>
      <c r="EZ13" s="697" t="n"/>
      <c r="FA13" s="697" t="n"/>
      <c r="FB13" s="697" t="n"/>
      <c r="FC13" s="697" t="n"/>
      <c r="FD13" s="697" t="n"/>
      <c r="FE13" s="697" t="n"/>
      <c r="FF13" s="697" t="n"/>
      <c r="FG13" s="697" t="n"/>
      <c r="FH13" s="697" t="n"/>
      <c r="FI13" s="697" t="n"/>
      <c r="FJ13" s="697" t="n"/>
      <c r="FK13" s="697" t="n"/>
      <c r="FL13" s="697" t="n"/>
      <c r="FM13" s="697" t="n"/>
      <c r="FN13" s="697" t="n"/>
      <c r="FO13" s="698">
        <f>IF($B13="","",SUM(EJ13:FN13))</f>
        <v/>
      </c>
      <c r="FP13" s="699">
        <f>IF($B13="","",SUMIFS('ถอนเงิน'!$E$7:$E$306,'ถอนเงิน'!$C$7:$C$306,$A13,'ถอนเงิน'!$B$7:$B$306,"กันยายน"))</f>
        <v/>
      </c>
      <c r="FQ13" s="700">
        <f>IF($B13="","",N(EI13)+N(FO13)-N(FP13))</f>
        <v/>
      </c>
      <c r="FR13" s="696" t="n"/>
      <c r="FS13" s="697" t="n"/>
      <c r="FT13" s="697" t="n"/>
      <c r="FU13" s="697" t="n"/>
      <c r="FV13" s="697" t="n"/>
      <c r="FW13" s="697" t="n"/>
      <c r="FX13" s="697" t="n"/>
      <c r="FY13" s="697" t="n"/>
      <c r="FZ13" s="697" t="n"/>
      <c r="GA13" s="697" t="n"/>
      <c r="GB13" s="697" t="n"/>
      <c r="GC13" s="697" t="n"/>
      <c r="GD13" s="697" t="n"/>
      <c r="GE13" s="697" t="n"/>
      <c r="GF13" s="697" t="n"/>
      <c r="GG13" s="697" t="n"/>
      <c r="GH13" s="697" t="n"/>
      <c r="GI13" s="697" t="n"/>
      <c r="GJ13" s="697" t="n"/>
      <c r="GK13" s="697" t="n"/>
      <c r="GL13" s="697" t="n"/>
      <c r="GM13" s="697" t="n"/>
      <c r="GN13" s="697" t="n"/>
      <c r="GO13" s="697" t="n"/>
      <c r="GP13" s="697" t="n"/>
      <c r="GQ13" s="697" t="n"/>
      <c r="GR13" s="697" t="n"/>
      <c r="GS13" s="697" t="n"/>
      <c r="GT13" s="697" t="n"/>
      <c r="GU13" s="697" t="n"/>
      <c r="GV13" s="697" t="n"/>
      <c r="GW13" s="698">
        <f>IF($B13="","",SUM(FR13:GV13))</f>
        <v/>
      </c>
      <c r="GX13" s="699">
        <f>IF($B13="","",SUMIFS('ถอนเงิน'!$E$7:$E$306,'ถอนเงิน'!$C$7:$C$306,$A13,'ถอนเงิน'!$B$7:$B$306,"ตุลาคม"))</f>
        <v/>
      </c>
      <c r="GY13" s="700">
        <f>IF($B13="","",N(FQ13)+N(GW13)-N(GX13))</f>
        <v/>
      </c>
    </row>
    <row r="14">
      <c r="A14" s="701" t="inlineStr">
        <is>
          <t>รวมเงินฝาก (บาท)</t>
        </is>
      </c>
      <c r="B14" s="184" t="n"/>
      <c r="C14" s="184" t="n"/>
      <c r="D14" s="702">
        <f>IF(D$4&lt;&gt;1,"",SUM(D9:D13))</f>
        <v/>
      </c>
      <c r="E14" s="703">
        <f>IF(E$4&lt;&gt;1,"",SUM(E9:E13))</f>
        <v/>
      </c>
      <c r="F14" s="703">
        <f>IF(F$4&lt;&gt;1,"",SUM(F9:F13))</f>
        <v/>
      </c>
      <c r="G14" s="703">
        <f>IF(G$4&lt;&gt;1,"",SUM(G9:G13))</f>
        <v/>
      </c>
      <c r="H14" s="703">
        <f>IF(H$4&lt;&gt;1,"",SUM(H9:H13))</f>
        <v/>
      </c>
      <c r="I14" s="703">
        <f>IF(I$4&lt;&gt;1,"",SUM(I9:I13))</f>
        <v/>
      </c>
      <c r="J14" s="703">
        <f>IF(J$4&lt;&gt;1,"",SUM(J9:J13))</f>
        <v/>
      </c>
      <c r="K14" s="703">
        <f>IF(K$4&lt;&gt;1,"",SUM(K9:K13))</f>
        <v/>
      </c>
      <c r="L14" s="703">
        <f>IF(L$4&lt;&gt;1,"",SUM(L9:L13))</f>
        <v/>
      </c>
      <c r="M14" s="703">
        <f>IF(M$4&lt;&gt;1,"",SUM(M9:M13))</f>
        <v/>
      </c>
      <c r="N14" s="703">
        <f>IF(N$4&lt;&gt;1,"",SUM(N9:N13))</f>
        <v/>
      </c>
      <c r="O14" s="703">
        <f>IF(O$4&lt;&gt;1,"",SUM(O9:O13))</f>
        <v/>
      </c>
      <c r="P14" s="703">
        <f>IF(P$4&lt;&gt;1,"",SUM(P9:P13))</f>
        <v/>
      </c>
      <c r="Q14" s="703">
        <f>IF(Q$4&lt;&gt;1,"",SUM(Q9:Q13))</f>
        <v/>
      </c>
      <c r="R14" s="703">
        <f>IF(R$4&lt;&gt;1,"",SUM(R9:R13))</f>
        <v/>
      </c>
      <c r="S14" s="703">
        <f>IF(S$4&lt;&gt;1,"",SUM(S9:S13))</f>
        <v/>
      </c>
      <c r="T14" s="703">
        <f>IF(T$4&lt;&gt;1,"",SUM(T9:T13))</f>
        <v/>
      </c>
      <c r="U14" s="703">
        <f>IF(U$4&lt;&gt;1,"",SUM(U9:U13))</f>
        <v/>
      </c>
      <c r="V14" s="703">
        <f>IF(V$4&lt;&gt;1,"",SUM(V9:V13))</f>
        <v/>
      </c>
      <c r="W14" s="703">
        <f>IF(W$4&lt;&gt;1,"",SUM(W9:W13))</f>
        <v/>
      </c>
      <c r="X14" s="703">
        <f>IF(X$4&lt;&gt;1,"",SUM(X9:X13))</f>
        <v/>
      </c>
      <c r="Y14" s="703">
        <f>IF(Y$4&lt;&gt;1,"",SUM(Y9:Y13))</f>
        <v/>
      </c>
      <c r="Z14" s="703">
        <f>IF(Z$4&lt;&gt;1,"",SUM(Z9:Z13))</f>
        <v/>
      </c>
      <c r="AA14" s="703">
        <f>IF(AA$4&lt;&gt;1,"",SUM(AA9:AA13))</f>
        <v/>
      </c>
      <c r="AB14" s="703">
        <f>IF(AB$4&lt;&gt;1,"",SUM(AB9:AB13))</f>
        <v/>
      </c>
      <c r="AC14" s="703">
        <f>IF(AC$4&lt;&gt;1,"",SUM(AC9:AC13))</f>
        <v/>
      </c>
      <c r="AD14" s="703">
        <f>IF(AD$4&lt;&gt;1,"",SUM(AD9:AD13))</f>
        <v/>
      </c>
      <c r="AE14" s="703">
        <f>IF(AE$4&lt;&gt;1,"",SUM(AE9:AE13))</f>
        <v/>
      </c>
      <c r="AF14" s="703">
        <f>IF(AF$4&lt;&gt;1,"",SUM(AF9:AF13))</f>
        <v/>
      </c>
      <c r="AG14" s="703">
        <f>IF(AG$4&lt;&gt;1,"",SUM(AG9:AG13))</f>
        <v/>
      </c>
      <c r="AH14" s="703">
        <f>IF(AH$4&lt;&gt;1,"",SUM(AH9:AH13))</f>
        <v/>
      </c>
      <c r="AI14" s="704">
        <f>SUM(AI9:AI13)</f>
        <v/>
      </c>
      <c r="AJ14" s="705">
        <f>SUM(AJ9:AJ13)</f>
        <v/>
      </c>
      <c r="AK14" s="706">
        <f>SUM(AK9:AK13)</f>
        <v/>
      </c>
      <c r="AL14" s="702">
        <f>IF(AL$4&lt;&gt;1,"",SUM(AL9:AL13))</f>
        <v/>
      </c>
      <c r="AM14" s="703">
        <f>IF(AM$4&lt;&gt;1,"",SUM(AM9:AM13))</f>
        <v/>
      </c>
      <c r="AN14" s="703">
        <f>IF(AN$4&lt;&gt;1,"",SUM(AN9:AN13))</f>
        <v/>
      </c>
      <c r="AO14" s="703">
        <f>IF(AO$4&lt;&gt;1,"",SUM(AO9:AO13))</f>
        <v/>
      </c>
      <c r="AP14" s="703">
        <f>IF(AP$4&lt;&gt;1,"",SUM(AP9:AP13))</f>
        <v/>
      </c>
      <c r="AQ14" s="703">
        <f>IF(AQ$4&lt;&gt;1,"",SUM(AQ9:AQ13))</f>
        <v/>
      </c>
      <c r="AR14" s="703">
        <f>IF(AR$4&lt;&gt;1,"",SUM(AR9:AR13))</f>
        <v/>
      </c>
      <c r="AS14" s="703">
        <f>IF(AS$4&lt;&gt;1,"",SUM(AS9:AS13))</f>
        <v/>
      </c>
      <c r="AT14" s="703">
        <f>IF(AT$4&lt;&gt;1,"",SUM(AT9:AT13))</f>
        <v/>
      </c>
      <c r="AU14" s="703">
        <f>IF(AU$4&lt;&gt;1,"",SUM(AU9:AU13))</f>
        <v/>
      </c>
      <c r="AV14" s="703">
        <f>IF(AV$4&lt;&gt;1,"",SUM(AV9:AV13))</f>
        <v/>
      </c>
      <c r="AW14" s="703">
        <f>IF(AW$4&lt;&gt;1,"",SUM(AW9:AW13))</f>
        <v/>
      </c>
      <c r="AX14" s="703">
        <f>IF(AX$4&lt;&gt;1,"",SUM(AX9:AX13))</f>
        <v/>
      </c>
      <c r="AY14" s="703">
        <f>IF(AY$4&lt;&gt;1,"",SUM(AY9:AY13))</f>
        <v/>
      </c>
      <c r="AZ14" s="703">
        <f>IF(AZ$4&lt;&gt;1,"",SUM(AZ9:AZ13))</f>
        <v/>
      </c>
      <c r="BA14" s="703">
        <f>IF(BA$4&lt;&gt;1,"",SUM(BA9:BA13))</f>
        <v/>
      </c>
      <c r="BB14" s="703">
        <f>IF(BB$4&lt;&gt;1,"",SUM(BB9:BB13))</f>
        <v/>
      </c>
      <c r="BC14" s="703">
        <f>IF(BC$4&lt;&gt;1,"",SUM(BC9:BC13))</f>
        <v/>
      </c>
      <c r="BD14" s="703">
        <f>IF(BD$4&lt;&gt;1,"",SUM(BD9:BD13))</f>
        <v/>
      </c>
      <c r="BE14" s="703">
        <f>IF(BE$4&lt;&gt;1,"",SUM(BE9:BE13))</f>
        <v/>
      </c>
      <c r="BF14" s="703">
        <f>IF(BF$4&lt;&gt;1,"",SUM(BF9:BF13))</f>
        <v/>
      </c>
      <c r="BG14" s="703">
        <f>IF(BG$4&lt;&gt;1,"",SUM(BG9:BG13))</f>
        <v/>
      </c>
      <c r="BH14" s="703">
        <f>IF(BH$4&lt;&gt;1,"",SUM(BH9:BH13))</f>
        <v/>
      </c>
      <c r="BI14" s="703">
        <f>IF(BI$4&lt;&gt;1,"",SUM(BI9:BI13))</f>
        <v/>
      </c>
      <c r="BJ14" s="703">
        <f>IF(BJ$4&lt;&gt;1,"",SUM(BJ9:BJ13))</f>
        <v/>
      </c>
      <c r="BK14" s="703">
        <f>IF(BK$4&lt;&gt;1,"",SUM(BK9:BK13))</f>
        <v/>
      </c>
      <c r="BL14" s="703">
        <f>IF(BL$4&lt;&gt;1,"",SUM(BL9:BL13))</f>
        <v/>
      </c>
      <c r="BM14" s="703">
        <f>IF(BM$4&lt;&gt;1,"",SUM(BM9:BM13))</f>
        <v/>
      </c>
      <c r="BN14" s="703">
        <f>IF(BN$4&lt;&gt;1,"",SUM(BN9:BN13))</f>
        <v/>
      </c>
      <c r="BO14" s="703">
        <f>IF(BO$4&lt;&gt;1,"",SUM(BO9:BO13))</f>
        <v/>
      </c>
      <c r="BP14" s="703">
        <f>IF(BP$4&lt;&gt;1,"",SUM(BP9:BP13))</f>
        <v/>
      </c>
      <c r="BQ14" s="704">
        <f>SUM(BQ9:BQ13)</f>
        <v/>
      </c>
      <c r="BR14" s="705">
        <f>SUM(BR9:BR13)</f>
        <v/>
      </c>
      <c r="BS14" s="706">
        <f>SUM(BS9:BS13)</f>
        <v/>
      </c>
      <c r="BT14" s="702">
        <f>IF(BT$4&lt;&gt;1,"",SUM(BT9:BT13))</f>
        <v/>
      </c>
      <c r="BU14" s="703">
        <f>IF(BU$4&lt;&gt;1,"",SUM(BU9:BU13))</f>
        <v/>
      </c>
      <c r="BV14" s="703">
        <f>IF(BV$4&lt;&gt;1,"",SUM(BV9:BV13))</f>
        <v/>
      </c>
      <c r="BW14" s="703">
        <f>IF(BW$4&lt;&gt;1,"",SUM(BW9:BW13))</f>
        <v/>
      </c>
      <c r="BX14" s="703">
        <f>IF(BX$4&lt;&gt;1,"",SUM(BX9:BX13))</f>
        <v/>
      </c>
      <c r="BY14" s="703">
        <f>IF(BY$4&lt;&gt;1,"",SUM(BY9:BY13))</f>
        <v/>
      </c>
      <c r="BZ14" s="703">
        <f>IF(BZ$4&lt;&gt;1,"",SUM(BZ9:BZ13))</f>
        <v/>
      </c>
      <c r="CA14" s="703">
        <f>IF(CA$4&lt;&gt;1,"",SUM(CA9:CA13))</f>
        <v/>
      </c>
      <c r="CB14" s="703">
        <f>IF(CB$4&lt;&gt;1,"",SUM(CB9:CB13))</f>
        <v/>
      </c>
      <c r="CC14" s="703">
        <f>IF(CC$4&lt;&gt;1,"",SUM(CC9:CC13))</f>
        <v/>
      </c>
      <c r="CD14" s="703">
        <f>IF(CD$4&lt;&gt;1,"",SUM(CD9:CD13))</f>
        <v/>
      </c>
      <c r="CE14" s="703">
        <f>IF(CE$4&lt;&gt;1,"",SUM(CE9:CE13))</f>
        <v/>
      </c>
      <c r="CF14" s="703">
        <f>IF(CF$4&lt;&gt;1,"",SUM(CF9:CF13))</f>
        <v/>
      </c>
      <c r="CG14" s="703">
        <f>IF(CG$4&lt;&gt;1,"",SUM(CG9:CG13))</f>
        <v/>
      </c>
      <c r="CH14" s="703">
        <f>IF(CH$4&lt;&gt;1,"",SUM(CH9:CH13))</f>
        <v/>
      </c>
      <c r="CI14" s="703">
        <f>IF(CI$4&lt;&gt;1,"",SUM(CI9:CI13))</f>
        <v/>
      </c>
      <c r="CJ14" s="703">
        <f>IF(CJ$4&lt;&gt;1,"",SUM(CJ9:CJ13))</f>
        <v/>
      </c>
      <c r="CK14" s="703">
        <f>IF(CK$4&lt;&gt;1,"",SUM(CK9:CK13))</f>
        <v/>
      </c>
      <c r="CL14" s="703">
        <f>IF(CL$4&lt;&gt;1,"",SUM(CL9:CL13))</f>
        <v/>
      </c>
      <c r="CM14" s="703">
        <f>IF(CM$4&lt;&gt;1,"",SUM(CM9:CM13))</f>
        <v/>
      </c>
      <c r="CN14" s="703">
        <f>IF(CN$4&lt;&gt;1,"",SUM(CN9:CN13))</f>
        <v/>
      </c>
      <c r="CO14" s="703">
        <f>IF(CO$4&lt;&gt;1,"",SUM(CO9:CO13))</f>
        <v/>
      </c>
      <c r="CP14" s="703">
        <f>IF(CP$4&lt;&gt;1,"",SUM(CP9:CP13))</f>
        <v/>
      </c>
      <c r="CQ14" s="703">
        <f>IF(CQ$4&lt;&gt;1,"",SUM(CQ9:CQ13))</f>
        <v/>
      </c>
      <c r="CR14" s="703">
        <f>IF(CR$4&lt;&gt;1,"",SUM(CR9:CR13))</f>
        <v/>
      </c>
      <c r="CS14" s="703">
        <f>IF(CS$4&lt;&gt;1,"",SUM(CS9:CS13))</f>
        <v/>
      </c>
      <c r="CT14" s="703">
        <f>IF(CT$4&lt;&gt;1,"",SUM(CT9:CT13))</f>
        <v/>
      </c>
      <c r="CU14" s="703">
        <f>IF(CU$4&lt;&gt;1,"",SUM(CU9:CU13))</f>
        <v/>
      </c>
      <c r="CV14" s="703">
        <f>IF(CV$4&lt;&gt;1,"",SUM(CV9:CV13))</f>
        <v/>
      </c>
      <c r="CW14" s="703">
        <f>IF(CW$4&lt;&gt;1,"",SUM(CW9:CW13))</f>
        <v/>
      </c>
      <c r="CX14" s="703">
        <f>IF(CX$4&lt;&gt;1,"",SUM(CX9:CX13))</f>
        <v/>
      </c>
      <c r="CY14" s="704">
        <f>SUM(CY9:CY13)</f>
        <v/>
      </c>
      <c r="CZ14" s="705">
        <f>SUM(CZ9:CZ13)</f>
        <v/>
      </c>
      <c r="DA14" s="706">
        <f>SUM(DA9:DA13)</f>
        <v/>
      </c>
      <c r="DB14" s="702">
        <f>IF(DB$4&lt;&gt;1,"",SUM(DB9:DB13))</f>
        <v/>
      </c>
      <c r="DC14" s="703">
        <f>IF(DC$4&lt;&gt;1,"",SUM(DC9:DC13))</f>
        <v/>
      </c>
      <c r="DD14" s="703">
        <f>IF(DD$4&lt;&gt;1,"",SUM(DD9:DD13))</f>
        <v/>
      </c>
      <c r="DE14" s="703">
        <f>IF(DE$4&lt;&gt;1,"",SUM(DE9:DE13))</f>
        <v/>
      </c>
      <c r="DF14" s="703">
        <f>IF(DF$4&lt;&gt;1,"",SUM(DF9:DF13))</f>
        <v/>
      </c>
      <c r="DG14" s="703">
        <f>IF(DG$4&lt;&gt;1,"",SUM(DG9:DG13))</f>
        <v/>
      </c>
      <c r="DH14" s="703">
        <f>IF(DH$4&lt;&gt;1,"",SUM(DH9:DH13))</f>
        <v/>
      </c>
      <c r="DI14" s="703">
        <f>IF(DI$4&lt;&gt;1,"",SUM(DI9:DI13))</f>
        <v/>
      </c>
      <c r="DJ14" s="703">
        <f>IF(DJ$4&lt;&gt;1,"",SUM(DJ9:DJ13))</f>
        <v/>
      </c>
      <c r="DK14" s="703">
        <f>IF(DK$4&lt;&gt;1,"",SUM(DK9:DK13))</f>
        <v/>
      </c>
      <c r="DL14" s="703">
        <f>IF(DL$4&lt;&gt;1,"",SUM(DL9:DL13))</f>
        <v/>
      </c>
      <c r="DM14" s="703">
        <f>IF(DM$4&lt;&gt;1,"",SUM(DM9:DM13))</f>
        <v/>
      </c>
      <c r="DN14" s="703">
        <f>IF(DN$4&lt;&gt;1,"",SUM(DN9:DN13))</f>
        <v/>
      </c>
      <c r="DO14" s="703">
        <f>IF(DO$4&lt;&gt;1,"",SUM(DO9:DO13))</f>
        <v/>
      </c>
      <c r="DP14" s="703">
        <f>IF(DP$4&lt;&gt;1,"",SUM(DP9:DP13))</f>
        <v/>
      </c>
      <c r="DQ14" s="703">
        <f>IF(DQ$4&lt;&gt;1,"",SUM(DQ9:DQ13))</f>
        <v/>
      </c>
      <c r="DR14" s="703">
        <f>IF(DR$4&lt;&gt;1,"",SUM(DR9:DR13))</f>
        <v/>
      </c>
      <c r="DS14" s="703">
        <f>IF(DS$4&lt;&gt;1,"",SUM(DS9:DS13))</f>
        <v/>
      </c>
      <c r="DT14" s="703">
        <f>IF(DT$4&lt;&gt;1,"",SUM(DT9:DT13))</f>
        <v/>
      </c>
      <c r="DU14" s="703">
        <f>IF(DU$4&lt;&gt;1,"",SUM(DU9:DU13))</f>
        <v/>
      </c>
      <c r="DV14" s="703">
        <f>IF(DV$4&lt;&gt;1,"",SUM(DV9:DV13))</f>
        <v/>
      </c>
      <c r="DW14" s="703">
        <f>IF(DW$4&lt;&gt;1,"",SUM(DW9:DW13))</f>
        <v/>
      </c>
      <c r="DX14" s="703">
        <f>IF(DX$4&lt;&gt;1,"",SUM(DX9:DX13))</f>
        <v/>
      </c>
      <c r="DY14" s="703">
        <f>IF(DY$4&lt;&gt;1,"",SUM(DY9:DY13))</f>
        <v/>
      </c>
      <c r="DZ14" s="703">
        <f>IF(DZ$4&lt;&gt;1,"",SUM(DZ9:DZ13))</f>
        <v/>
      </c>
      <c r="EA14" s="703">
        <f>IF(EA$4&lt;&gt;1,"",SUM(EA9:EA13))</f>
        <v/>
      </c>
      <c r="EB14" s="703">
        <f>IF(EB$4&lt;&gt;1,"",SUM(EB9:EB13))</f>
        <v/>
      </c>
      <c r="EC14" s="703">
        <f>IF(EC$4&lt;&gt;1,"",SUM(EC9:EC13))</f>
        <v/>
      </c>
      <c r="ED14" s="703">
        <f>IF(ED$4&lt;&gt;1,"",SUM(ED9:ED13))</f>
        <v/>
      </c>
      <c r="EE14" s="703">
        <f>IF(EE$4&lt;&gt;1,"",SUM(EE9:EE13))</f>
        <v/>
      </c>
      <c r="EF14" s="703">
        <f>IF(EF$4&lt;&gt;1,"",SUM(EF9:EF13))</f>
        <v/>
      </c>
      <c r="EG14" s="704">
        <f>SUM(EG9:EG13)</f>
        <v/>
      </c>
      <c r="EH14" s="705">
        <f>SUM(EH9:EH13)</f>
        <v/>
      </c>
      <c r="EI14" s="706">
        <f>SUM(EI9:EI13)</f>
        <v/>
      </c>
      <c r="EJ14" s="702">
        <f>IF(EJ$4&lt;&gt;1,"",SUM(EJ9:EJ13))</f>
        <v/>
      </c>
      <c r="EK14" s="703">
        <f>IF(EK$4&lt;&gt;1,"",SUM(EK9:EK13))</f>
        <v/>
      </c>
      <c r="EL14" s="703">
        <f>IF(EL$4&lt;&gt;1,"",SUM(EL9:EL13))</f>
        <v/>
      </c>
      <c r="EM14" s="703">
        <f>IF(EM$4&lt;&gt;1,"",SUM(EM9:EM13))</f>
        <v/>
      </c>
      <c r="EN14" s="703">
        <f>IF(EN$4&lt;&gt;1,"",SUM(EN9:EN13))</f>
        <v/>
      </c>
      <c r="EO14" s="703">
        <f>IF(EO$4&lt;&gt;1,"",SUM(EO9:EO13))</f>
        <v/>
      </c>
      <c r="EP14" s="703">
        <f>IF(EP$4&lt;&gt;1,"",SUM(EP9:EP13))</f>
        <v/>
      </c>
      <c r="EQ14" s="703">
        <f>IF(EQ$4&lt;&gt;1,"",SUM(EQ9:EQ13))</f>
        <v/>
      </c>
      <c r="ER14" s="703">
        <f>IF(ER$4&lt;&gt;1,"",SUM(ER9:ER13))</f>
        <v/>
      </c>
      <c r="ES14" s="703">
        <f>IF(ES$4&lt;&gt;1,"",SUM(ES9:ES13))</f>
        <v/>
      </c>
      <c r="ET14" s="703">
        <f>IF(ET$4&lt;&gt;1,"",SUM(ET9:ET13))</f>
        <v/>
      </c>
      <c r="EU14" s="703">
        <f>IF(EU$4&lt;&gt;1,"",SUM(EU9:EU13))</f>
        <v/>
      </c>
      <c r="EV14" s="703">
        <f>IF(EV$4&lt;&gt;1,"",SUM(EV9:EV13))</f>
        <v/>
      </c>
      <c r="EW14" s="703">
        <f>IF(EW$4&lt;&gt;1,"",SUM(EW9:EW13))</f>
        <v/>
      </c>
      <c r="EX14" s="703">
        <f>IF(EX$4&lt;&gt;1,"",SUM(EX9:EX13))</f>
        <v/>
      </c>
      <c r="EY14" s="703">
        <f>IF(EY$4&lt;&gt;1,"",SUM(EY9:EY13))</f>
        <v/>
      </c>
      <c r="EZ14" s="703">
        <f>IF(EZ$4&lt;&gt;1,"",SUM(EZ9:EZ13))</f>
        <v/>
      </c>
      <c r="FA14" s="703">
        <f>IF(FA$4&lt;&gt;1,"",SUM(FA9:FA13))</f>
        <v/>
      </c>
      <c r="FB14" s="703">
        <f>IF(FB$4&lt;&gt;1,"",SUM(FB9:FB13))</f>
        <v/>
      </c>
      <c r="FC14" s="703">
        <f>IF(FC$4&lt;&gt;1,"",SUM(FC9:FC13))</f>
        <v/>
      </c>
      <c r="FD14" s="703">
        <f>IF(FD$4&lt;&gt;1,"",SUM(FD9:FD13))</f>
        <v/>
      </c>
      <c r="FE14" s="703">
        <f>IF(FE$4&lt;&gt;1,"",SUM(FE9:FE13))</f>
        <v/>
      </c>
      <c r="FF14" s="703">
        <f>IF(FF$4&lt;&gt;1,"",SUM(FF9:FF13))</f>
        <v/>
      </c>
      <c r="FG14" s="703">
        <f>IF(FG$4&lt;&gt;1,"",SUM(FG9:FG13))</f>
        <v/>
      </c>
      <c r="FH14" s="703">
        <f>IF(FH$4&lt;&gt;1,"",SUM(FH9:FH13))</f>
        <v/>
      </c>
      <c r="FI14" s="703">
        <f>IF(FI$4&lt;&gt;1,"",SUM(FI9:FI13))</f>
        <v/>
      </c>
      <c r="FJ14" s="703">
        <f>IF(FJ$4&lt;&gt;1,"",SUM(FJ9:FJ13))</f>
        <v/>
      </c>
      <c r="FK14" s="703">
        <f>IF(FK$4&lt;&gt;1,"",SUM(FK9:FK13))</f>
        <v/>
      </c>
      <c r="FL14" s="703">
        <f>IF(FL$4&lt;&gt;1,"",SUM(FL9:FL13))</f>
        <v/>
      </c>
      <c r="FM14" s="703">
        <f>IF(FM$4&lt;&gt;1,"",SUM(FM9:FM13))</f>
        <v/>
      </c>
      <c r="FN14" s="703">
        <f>IF(FN$4&lt;&gt;1,"",SUM(FN9:FN13))</f>
        <v/>
      </c>
      <c r="FO14" s="704">
        <f>SUM(FO9:FO13)</f>
        <v/>
      </c>
      <c r="FP14" s="705">
        <f>SUM(FP9:FP13)</f>
        <v/>
      </c>
      <c r="FQ14" s="706">
        <f>SUM(FQ9:FQ13)</f>
        <v/>
      </c>
      <c r="FR14" s="702">
        <f>IF(FR$4&lt;&gt;1,"",SUM(FR9:FR13))</f>
        <v/>
      </c>
      <c r="FS14" s="703">
        <f>IF(FS$4&lt;&gt;1,"",SUM(FS9:FS13))</f>
        <v/>
      </c>
      <c r="FT14" s="703">
        <f>IF(FT$4&lt;&gt;1,"",SUM(FT9:FT13))</f>
        <v/>
      </c>
      <c r="FU14" s="703">
        <f>IF(FU$4&lt;&gt;1,"",SUM(FU9:FU13))</f>
        <v/>
      </c>
      <c r="FV14" s="703">
        <f>IF(FV$4&lt;&gt;1,"",SUM(FV9:FV13))</f>
        <v/>
      </c>
      <c r="FW14" s="703">
        <f>IF(FW$4&lt;&gt;1,"",SUM(FW9:FW13))</f>
        <v/>
      </c>
      <c r="FX14" s="703">
        <f>IF(FX$4&lt;&gt;1,"",SUM(FX9:FX13))</f>
        <v/>
      </c>
      <c r="FY14" s="703">
        <f>IF(FY$4&lt;&gt;1,"",SUM(FY9:FY13))</f>
        <v/>
      </c>
      <c r="FZ14" s="703">
        <f>IF(FZ$4&lt;&gt;1,"",SUM(FZ9:FZ13))</f>
        <v/>
      </c>
      <c r="GA14" s="703">
        <f>IF(GA$4&lt;&gt;1,"",SUM(GA9:GA13))</f>
        <v/>
      </c>
      <c r="GB14" s="703">
        <f>IF(GB$4&lt;&gt;1,"",SUM(GB9:GB13))</f>
        <v/>
      </c>
      <c r="GC14" s="703">
        <f>IF(GC$4&lt;&gt;1,"",SUM(GC9:GC13))</f>
        <v/>
      </c>
      <c r="GD14" s="703">
        <f>IF(GD$4&lt;&gt;1,"",SUM(GD9:GD13))</f>
        <v/>
      </c>
      <c r="GE14" s="703">
        <f>IF(GE$4&lt;&gt;1,"",SUM(GE9:GE13))</f>
        <v/>
      </c>
      <c r="GF14" s="703">
        <f>IF(GF$4&lt;&gt;1,"",SUM(GF9:GF13))</f>
        <v/>
      </c>
      <c r="GG14" s="703">
        <f>IF(GG$4&lt;&gt;1,"",SUM(GG9:GG13))</f>
        <v/>
      </c>
      <c r="GH14" s="703">
        <f>IF(GH$4&lt;&gt;1,"",SUM(GH9:GH13))</f>
        <v/>
      </c>
      <c r="GI14" s="703">
        <f>IF(GI$4&lt;&gt;1,"",SUM(GI9:GI13))</f>
        <v/>
      </c>
      <c r="GJ14" s="703">
        <f>IF(GJ$4&lt;&gt;1,"",SUM(GJ9:GJ13))</f>
        <v/>
      </c>
      <c r="GK14" s="703">
        <f>IF(GK$4&lt;&gt;1,"",SUM(GK9:GK13))</f>
        <v/>
      </c>
      <c r="GL14" s="703">
        <f>IF(GL$4&lt;&gt;1,"",SUM(GL9:GL13))</f>
        <v/>
      </c>
      <c r="GM14" s="703">
        <f>IF(GM$4&lt;&gt;1,"",SUM(GM9:GM13))</f>
        <v/>
      </c>
      <c r="GN14" s="703">
        <f>IF(GN$4&lt;&gt;1,"",SUM(GN9:GN13))</f>
        <v/>
      </c>
      <c r="GO14" s="703">
        <f>IF(GO$4&lt;&gt;1,"",SUM(GO9:GO13))</f>
        <v/>
      </c>
      <c r="GP14" s="703">
        <f>IF(GP$4&lt;&gt;1,"",SUM(GP9:GP13))</f>
        <v/>
      </c>
      <c r="GQ14" s="703">
        <f>IF(GQ$4&lt;&gt;1,"",SUM(GQ9:GQ13))</f>
        <v/>
      </c>
      <c r="GR14" s="703">
        <f>IF(GR$4&lt;&gt;1,"",SUM(GR9:GR13))</f>
        <v/>
      </c>
      <c r="GS14" s="703">
        <f>IF(GS$4&lt;&gt;1,"",SUM(GS9:GS13))</f>
        <v/>
      </c>
      <c r="GT14" s="703">
        <f>IF(GT$4&lt;&gt;1,"",SUM(GT9:GT13))</f>
        <v/>
      </c>
      <c r="GU14" s="703">
        <f>IF(GU$4&lt;&gt;1,"",SUM(GU9:GU13))</f>
        <v/>
      </c>
      <c r="GV14" s="703">
        <f>IF(GV$4&lt;&gt;1,"",SUM(GV9:GV13))</f>
        <v/>
      </c>
      <c r="GW14" s="704">
        <f>SUM(GW9:GW13)</f>
        <v/>
      </c>
      <c r="GX14" s="705">
        <f>SUM(GX9:GX13)</f>
        <v/>
      </c>
      <c r="GY14" s="706">
        <f>SUM(GY9:GY13)</f>
        <v/>
      </c>
    </row>
    <row r="15">
      <c r="A15" s="701" t="inlineStr">
        <is>
          <t>ฝาก (คน)</t>
        </is>
      </c>
      <c r="B15" s="184" t="n"/>
      <c r="C15" s="184" t="n"/>
      <c r="D15" s="702">
        <f>IF(D$4&lt;&gt;1,"",COUNTIF(D9:D13,"&gt;0"))</f>
        <v/>
      </c>
      <c r="E15" s="703">
        <f>IF(E$4&lt;&gt;1,"",COUNTIF(E9:E13,"&gt;0"))</f>
        <v/>
      </c>
      <c r="F15" s="703">
        <f>IF(F$4&lt;&gt;1,"",COUNTIF(F9:F13,"&gt;0"))</f>
        <v/>
      </c>
      <c r="G15" s="703">
        <f>IF(G$4&lt;&gt;1,"",COUNTIF(G9:G13,"&gt;0"))</f>
        <v/>
      </c>
      <c r="H15" s="703">
        <f>IF(H$4&lt;&gt;1,"",COUNTIF(H9:H13,"&gt;0"))</f>
        <v/>
      </c>
      <c r="I15" s="703">
        <f>IF(I$4&lt;&gt;1,"",COUNTIF(I9:I13,"&gt;0"))</f>
        <v/>
      </c>
      <c r="J15" s="703">
        <f>IF(J$4&lt;&gt;1,"",COUNTIF(J9:J13,"&gt;0"))</f>
        <v/>
      </c>
      <c r="K15" s="703">
        <f>IF(K$4&lt;&gt;1,"",COUNTIF(K9:K13,"&gt;0"))</f>
        <v/>
      </c>
      <c r="L15" s="703">
        <f>IF(L$4&lt;&gt;1,"",COUNTIF(L9:L13,"&gt;0"))</f>
        <v/>
      </c>
      <c r="M15" s="703">
        <f>IF(M$4&lt;&gt;1,"",COUNTIF(M9:M13,"&gt;0"))</f>
        <v/>
      </c>
      <c r="N15" s="703">
        <f>IF(N$4&lt;&gt;1,"",COUNTIF(N9:N13,"&gt;0"))</f>
        <v/>
      </c>
      <c r="O15" s="703">
        <f>IF(O$4&lt;&gt;1,"",COUNTIF(O9:O13,"&gt;0"))</f>
        <v/>
      </c>
      <c r="P15" s="703">
        <f>IF(P$4&lt;&gt;1,"",COUNTIF(P9:P13,"&gt;0"))</f>
        <v/>
      </c>
      <c r="Q15" s="703">
        <f>IF(Q$4&lt;&gt;1,"",COUNTIF(Q9:Q13,"&gt;0"))</f>
        <v/>
      </c>
      <c r="R15" s="703">
        <f>IF(R$4&lt;&gt;1,"",COUNTIF(R9:R13,"&gt;0"))</f>
        <v/>
      </c>
      <c r="S15" s="703">
        <f>IF(S$4&lt;&gt;1,"",COUNTIF(S9:S13,"&gt;0"))</f>
        <v/>
      </c>
      <c r="T15" s="703">
        <f>IF(T$4&lt;&gt;1,"",COUNTIF(T9:T13,"&gt;0"))</f>
        <v/>
      </c>
      <c r="U15" s="703">
        <f>IF(U$4&lt;&gt;1,"",COUNTIF(U9:U13,"&gt;0"))</f>
        <v/>
      </c>
      <c r="V15" s="703">
        <f>IF(V$4&lt;&gt;1,"",COUNTIF(V9:V13,"&gt;0"))</f>
        <v/>
      </c>
      <c r="W15" s="703">
        <f>IF(W$4&lt;&gt;1,"",COUNTIF(W9:W13,"&gt;0"))</f>
        <v/>
      </c>
      <c r="X15" s="703">
        <f>IF(X$4&lt;&gt;1,"",COUNTIF(X9:X13,"&gt;0"))</f>
        <v/>
      </c>
      <c r="Y15" s="703">
        <f>IF(Y$4&lt;&gt;1,"",COUNTIF(Y9:Y13,"&gt;0"))</f>
        <v/>
      </c>
      <c r="Z15" s="703">
        <f>IF(Z$4&lt;&gt;1,"",COUNTIF(Z9:Z13,"&gt;0"))</f>
        <v/>
      </c>
      <c r="AA15" s="703">
        <f>IF(AA$4&lt;&gt;1,"",COUNTIF(AA9:AA13,"&gt;0"))</f>
        <v/>
      </c>
      <c r="AB15" s="703">
        <f>IF(AB$4&lt;&gt;1,"",COUNTIF(AB9:AB13,"&gt;0"))</f>
        <v/>
      </c>
      <c r="AC15" s="703">
        <f>IF(AC$4&lt;&gt;1,"",COUNTIF(AC9:AC13,"&gt;0"))</f>
        <v/>
      </c>
      <c r="AD15" s="703">
        <f>IF(AD$4&lt;&gt;1,"",COUNTIF(AD9:AD13,"&gt;0"))</f>
        <v/>
      </c>
      <c r="AE15" s="703">
        <f>IF(AE$4&lt;&gt;1,"",COUNTIF(AE9:AE13,"&gt;0"))</f>
        <v/>
      </c>
      <c r="AF15" s="703">
        <f>IF(AF$4&lt;&gt;1,"",COUNTIF(AF9:AF13,"&gt;0"))</f>
        <v/>
      </c>
      <c r="AG15" s="703">
        <f>IF(AG$4&lt;&gt;1,"",COUNTIF(AG9:AG13,"&gt;0"))</f>
        <v/>
      </c>
      <c r="AH15" s="703">
        <f>IF(AH$4&lt;&gt;1,"",COUNTIF(AH9:AH13,"&gt;0"))</f>
        <v/>
      </c>
      <c r="AI15" s="704" t="n"/>
      <c r="AJ15" s="705" t="n"/>
      <c r="AK15" s="706" t="n"/>
      <c r="AL15" s="702">
        <f>IF(AL$4&lt;&gt;1,"",COUNTIF(AL9:AL13,"&gt;0"))</f>
        <v/>
      </c>
      <c r="AM15" s="703">
        <f>IF(AM$4&lt;&gt;1,"",COUNTIF(AM9:AM13,"&gt;0"))</f>
        <v/>
      </c>
      <c r="AN15" s="703">
        <f>IF(AN$4&lt;&gt;1,"",COUNTIF(AN9:AN13,"&gt;0"))</f>
        <v/>
      </c>
      <c r="AO15" s="703">
        <f>IF(AO$4&lt;&gt;1,"",COUNTIF(AO9:AO13,"&gt;0"))</f>
        <v/>
      </c>
      <c r="AP15" s="703">
        <f>IF(AP$4&lt;&gt;1,"",COUNTIF(AP9:AP13,"&gt;0"))</f>
        <v/>
      </c>
      <c r="AQ15" s="703">
        <f>IF(AQ$4&lt;&gt;1,"",COUNTIF(AQ9:AQ13,"&gt;0"))</f>
        <v/>
      </c>
      <c r="AR15" s="703">
        <f>IF(AR$4&lt;&gt;1,"",COUNTIF(AR9:AR13,"&gt;0"))</f>
        <v/>
      </c>
      <c r="AS15" s="703">
        <f>IF(AS$4&lt;&gt;1,"",COUNTIF(AS9:AS13,"&gt;0"))</f>
        <v/>
      </c>
      <c r="AT15" s="703">
        <f>IF(AT$4&lt;&gt;1,"",COUNTIF(AT9:AT13,"&gt;0"))</f>
        <v/>
      </c>
      <c r="AU15" s="703">
        <f>IF(AU$4&lt;&gt;1,"",COUNTIF(AU9:AU13,"&gt;0"))</f>
        <v/>
      </c>
      <c r="AV15" s="703">
        <f>IF(AV$4&lt;&gt;1,"",COUNTIF(AV9:AV13,"&gt;0"))</f>
        <v/>
      </c>
      <c r="AW15" s="703">
        <f>IF(AW$4&lt;&gt;1,"",COUNTIF(AW9:AW13,"&gt;0"))</f>
        <v/>
      </c>
      <c r="AX15" s="703">
        <f>IF(AX$4&lt;&gt;1,"",COUNTIF(AX9:AX13,"&gt;0"))</f>
        <v/>
      </c>
      <c r="AY15" s="703">
        <f>IF(AY$4&lt;&gt;1,"",COUNTIF(AY9:AY13,"&gt;0"))</f>
        <v/>
      </c>
      <c r="AZ15" s="703">
        <f>IF(AZ$4&lt;&gt;1,"",COUNTIF(AZ9:AZ13,"&gt;0"))</f>
        <v/>
      </c>
      <c r="BA15" s="703">
        <f>IF(BA$4&lt;&gt;1,"",COUNTIF(BA9:BA13,"&gt;0"))</f>
        <v/>
      </c>
      <c r="BB15" s="703">
        <f>IF(BB$4&lt;&gt;1,"",COUNTIF(BB9:BB13,"&gt;0"))</f>
        <v/>
      </c>
      <c r="BC15" s="703">
        <f>IF(BC$4&lt;&gt;1,"",COUNTIF(BC9:BC13,"&gt;0"))</f>
        <v/>
      </c>
      <c r="BD15" s="703">
        <f>IF(BD$4&lt;&gt;1,"",COUNTIF(BD9:BD13,"&gt;0"))</f>
        <v/>
      </c>
      <c r="BE15" s="703">
        <f>IF(BE$4&lt;&gt;1,"",COUNTIF(BE9:BE13,"&gt;0"))</f>
        <v/>
      </c>
      <c r="BF15" s="703">
        <f>IF(BF$4&lt;&gt;1,"",COUNTIF(BF9:BF13,"&gt;0"))</f>
        <v/>
      </c>
      <c r="BG15" s="703">
        <f>IF(BG$4&lt;&gt;1,"",COUNTIF(BG9:BG13,"&gt;0"))</f>
        <v/>
      </c>
      <c r="BH15" s="703">
        <f>IF(BH$4&lt;&gt;1,"",COUNTIF(BH9:BH13,"&gt;0"))</f>
        <v/>
      </c>
      <c r="BI15" s="703">
        <f>IF(BI$4&lt;&gt;1,"",COUNTIF(BI9:BI13,"&gt;0"))</f>
        <v/>
      </c>
      <c r="BJ15" s="703">
        <f>IF(BJ$4&lt;&gt;1,"",COUNTIF(BJ9:BJ13,"&gt;0"))</f>
        <v/>
      </c>
      <c r="BK15" s="703">
        <f>IF(BK$4&lt;&gt;1,"",COUNTIF(BK9:BK13,"&gt;0"))</f>
        <v/>
      </c>
      <c r="BL15" s="703">
        <f>IF(BL$4&lt;&gt;1,"",COUNTIF(BL9:BL13,"&gt;0"))</f>
        <v/>
      </c>
      <c r="BM15" s="703">
        <f>IF(BM$4&lt;&gt;1,"",COUNTIF(BM9:BM13,"&gt;0"))</f>
        <v/>
      </c>
      <c r="BN15" s="703">
        <f>IF(BN$4&lt;&gt;1,"",COUNTIF(BN9:BN13,"&gt;0"))</f>
        <v/>
      </c>
      <c r="BO15" s="703">
        <f>IF(BO$4&lt;&gt;1,"",COUNTIF(BO9:BO13,"&gt;0"))</f>
        <v/>
      </c>
      <c r="BP15" s="703">
        <f>IF(BP$4&lt;&gt;1,"",COUNTIF(BP9:BP13,"&gt;0"))</f>
        <v/>
      </c>
      <c r="BQ15" s="704" t="n"/>
      <c r="BR15" s="705" t="n"/>
      <c r="BS15" s="706" t="n"/>
      <c r="BT15" s="702">
        <f>IF(BT$4&lt;&gt;1,"",COUNTIF(BT9:BT13,"&gt;0"))</f>
        <v/>
      </c>
      <c r="BU15" s="703">
        <f>IF(BU$4&lt;&gt;1,"",COUNTIF(BU9:BU13,"&gt;0"))</f>
        <v/>
      </c>
      <c r="BV15" s="703">
        <f>IF(BV$4&lt;&gt;1,"",COUNTIF(BV9:BV13,"&gt;0"))</f>
        <v/>
      </c>
      <c r="BW15" s="703">
        <f>IF(BW$4&lt;&gt;1,"",COUNTIF(BW9:BW13,"&gt;0"))</f>
        <v/>
      </c>
      <c r="BX15" s="703">
        <f>IF(BX$4&lt;&gt;1,"",COUNTIF(BX9:BX13,"&gt;0"))</f>
        <v/>
      </c>
      <c r="BY15" s="703">
        <f>IF(BY$4&lt;&gt;1,"",COUNTIF(BY9:BY13,"&gt;0"))</f>
        <v/>
      </c>
      <c r="BZ15" s="703">
        <f>IF(BZ$4&lt;&gt;1,"",COUNTIF(BZ9:BZ13,"&gt;0"))</f>
        <v/>
      </c>
      <c r="CA15" s="703">
        <f>IF(CA$4&lt;&gt;1,"",COUNTIF(CA9:CA13,"&gt;0"))</f>
        <v/>
      </c>
      <c r="CB15" s="703">
        <f>IF(CB$4&lt;&gt;1,"",COUNTIF(CB9:CB13,"&gt;0"))</f>
        <v/>
      </c>
      <c r="CC15" s="703">
        <f>IF(CC$4&lt;&gt;1,"",COUNTIF(CC9:CC13,"&gt;0"))</f>
        <v/>
      </c>
      <c r="CD15" s="703">
        <f>IF(CD$4&lt;&gt;1,"",COUNTIF(CD9:CD13,"&gt;0"))</f>
        <v/>
      </c>
      <c r="CE15" s="703">
        <f>IF(CE$4&lt;&gt;1,"",COUNTIF(CE9:CE13,"&gt;0"))</f>
        <v/>
      </c>
      <c r="CF15" s="703">
        <f>IF(CF$4&lt;&gt;1,"",COUNTIF(CF9:CF13,"&gt;0"))</f>
        <v/>
      </c>
      <c r="CG15" s="703">
        <f>IF(CG$4&lt;&gt;1,"",COUNTIF(CG9:CG13,"&gt;0"))</f>
        <v/>
      </c>
      <c r="CH15" s="703">
        <f>IF(CH$4&lt;&gt;1,"",COUNTIF(CH9:CH13,"&gt;0"))</f>
        <v/>
      </c>
      <c r="CI15" s="703">
        <f>IF(CI$4&lt;&gt;1,"",COUNTIF(CI9:CI13,"&gt;0"))</f>
        <v/>
      </c>
      <c r="CJ15" s="703">
        <f>IF(CJ$4&lt;&gt;1,"",COUNTIF(CJ9:CJ13,"&gt;0"))</f>
        <v/>
      </c>
      <c r="CK15" s="703">
        <f>IF(CK$4&lt;&gt;1,"",COUNTIF(CK9:CK13,"&gt;0"))</f>
        <v/>
      </c>
      <c r="CL15" s="703">
        <f>IF(CL$4&lt;&gt;1,"",COUNTIF(CL9:CL13,"&gt;0"))</f>
        <v/>
      </c>
      <c r="CM15" s="703">
        <f>IF(CM$4&lt;&gt;1,"",COUNTIF(CM9:CM13,"&gt;0"))</f>
        <v/>
      </c>
      <c r="CN15" s="703">
        <f>IF(CN$4&lt;&gt;1,"",COUNTIF(CN9:CN13,"&gt;0"))</f>
        <v/>
      </c>
      <c r="CO15" s="703">
        <f>IF(CO$4&lt;&gt;1,"",COUNTIF(CO9:CO13,"&gt;0"))</f>
        <v/>
      </c>
      <c r="CP15" s="703">
        <f>IF(CP$4&lt;&gt;1,"",COUNTIF(CP9:CP13,"&gt;0"))</f>
        <v/>
      </c>
      <c r="CQ15" s="703">
        <f>IF(CQ$4&lt;&gt;1,"",COUNTIF(CQ9:CQ13,"&gt;0"))</f>
        <v/>
      </c>
      <c r="CR15" s="703">
        <f>IF(CR$4&lt;&gt;1,"",COUNTIF(CR9:CR13,"&gt;0"))</f>
        <v/>
      </c>
      <c r="CS15" s="703">
        <f>IF(CS$4&lt;&gt;1,"",COUNTIF(CS9:CS13,"&gt;0"))</f>
        <v/>
      </c>
      <c r="CT15" s="703">
        <f>IF(CT$4&lt;&gt;1,"",COUNTIF(CT9:CT13,"&gt;0"))</f>
        <v/>
      </c>
      <c r="CU15" s="703">
        <f>IF(CU$4&lt;&gt;1,"",COUNTIF(CU9:CU13,"&gt;0"))</f>
        <v/>
      </c>
      <c r="CV15" s="703">
        <f>IF(CV$4&lt;&gt;1,"",COUNTIF(CV9:CV13,"&gt;0"))</f>
        <v/>
      </c>
      <c r="CW15" s="703">
        <f>IF(CW$4&lt;&gt;1,"",COUNTIF(CW9:CW13,"&gt;0"))</f>
        <v/>
      </c>
      <c r="CX15" s="703">
        <f>IF(CX$4&lt;&gt;1,"",COUNTIF(CX9:CX13,"&gt;0"))</f>
        <v/>
      </c>
      <c r="CY15" s="704" t="n"/>
      <c r="CZ15" s="705" t="n"/>
      <c r="DA15" s="706" t="n"/>
      <c r="DB15" s="702">
        <f>IF(DB$4&lt;&gt;1,"",COUNTIF(DB9:DB13,"&gt;0"))</f>
        <v/>
      </c>
      <c r="DC15" s="703">
        <f>IF(DC$4&lt;&gt;1,"",COUNTIF(DC9:DC13,"&gt;0"))</f>
        <v/>
      </c>
      <c r="DD15" s="703">
        <f>IF(DD$4&lt;&gt;1,"",COUNTIF(DD9:DD13,"&gt;0"))</f>
        <v/>
      </c>
      <c r="DE15" s="703">
        <f>IF(DE$4&lt;&gt;1,"",COUNTIF(DE9:DE13,"&gt;0"))</f>
        <v/>
      </c>
      <c r="DF15" s="703">
        <f>IF(DF$4&lt;&gt;1,"",COUNTIF(DF9:DF13,"&gt;0"))</f>
        <v/>
      </c>
      <c r="DG15" s="703">
        <f>IF(DG$4&lt;&gt;1,"",COUNTIF(DG9:DG13,"&gt;0"))</f>
        <v/>
      </c>
      <c r="DH15" s="703">
        <f>IF(DH$4&lt;&gt;1,"",COUNTIF(DH9:DH13,"&gt;0"))</f>
        <v/>
      </c>
      <c r="DI15" s="703">
        <f>IF(DI$4&lt;&gt;1,"",COUNTIF(DI9:DI13,"&gt;0"))</f>
        <v/>
      </c>
      <c r="DJ15" s="703">
        <f>IF(DJ$4&lt;&gt;1,"",COUNTIF(DJ9:DJ13,"&gt;0"))</f>
        <v/>
      </c>
      <c r="DK15" s="703">
        <f>IF(DK$4&lt;&gt;1,"",COUNTIF(DK9:DK13,"&gt;0"))</f>
        <v/>
      </c>
      <c r="DL15" s="703">
        <f>IF(DL$4&lt;&gt;1,"",COUNTIF(DL9:DL13,"&gt;0"))</f>
        <v/>
      </c>
      <c r="DM15" s="703">
        <f>IF(DM$4&lt;&gt;1,"",COUNTIF(DM9:DM13,"&gt;0"))</f>
        <v/>
      </c>
      <c r="DN15" s="703">
        <f>IF(DN$4&lt;&gt;1,"",COUNTIF(DN9:DN13,"&gt;0"))</f>
        <v/>
      </c>
      <c r="DO15" s="703">
        <f>IF(DO$4&lt;&gt;1,"",COUNTIF(DO9:DO13,"&gt;0"))</f>
        <v/>
      </c>
      <c r="DP15" s="703">
        <f>IF(DP$4&lt;&gt;1,"",COUNTIF(DP9:DP13,"&gt;0"))</f>
        <v/>
      </c>
      <c r="DQ15" s="703">
        <f>IF(DQ$4&lt;&gt;1,"",COUNTIF(DQ9:DQ13,"&gt;0"))</f>
        <v/>
      </c>
      <c r="DR15" s="703">
        <f>IF(DR$4&lt;&gt;1,"",COUNTIF(DR9:DR13,"&gt;0"))</f>
        <v/>
      </c>
      <c r="DS15" s="703">
        <f>IF(DS$4&lt;&gt;1,"",COUNTIF(DS9:DS13,"&gt;0"))</f>
        <v/>
      </c>
      <c r="DT15" s="703">
        <f>IF(DT$4&lt;&gt;1,"",COUNTIF(DT9:DT13,"&gt;0"))</f>
        <v/>
      </c>
      <c r="DU15" s="703">
        <f>IF(DU$4&lt;&gt;1,"",COUNTIF(DU9:DU13,"&gt;0"))</f>
        <v/>
      </c>
      <c r="DV15" s="703">
        <f>IF(DV$4&lt;&gt;1,"",COUNTIF(DV9:DV13,"&gt;0"))</f>
        <v/>
      </c>
      <c r="DW15" s="703">
        <f>IF(DW$4&lt;&gt;1,"",COUNTIF(DW9:DW13,"&gt;0"))</f>
        <v/>
      </c>
      <c r="DX15" s="703">
        <f>IF(DX$4&lt;&gt;1,"",COUNTIF(DX9:DX13,"&gt;0"))</f>
        <v/>
      </c>
      <c r="DY15" s="703">
        <f>IF(DY$4&lt;&gt;1,"",COUNTIF(DY9:DY13,"&gt;0"))</f>
        <v/>
      </c>
      <c r="DZ15" s="703">
        <f>IF(DZ$4&lt;&gt;1,"",COUNTIF(DZ9:DZ13,"&gt;0"))</f>
        <v/>
      </c>
      <c r="EA15" s="703">
        <f>IF(EA$4&lt;&gt;1,"",COUNTIF(EA9:EA13,"&gt;0"))</f>
        <v/>
      </c>
      <c r="EB15" s="703">
        <f>IF(EB$4&lt;&gt;1,"",COUNTIF(EB9:EB13,"&gt;0"))</f>
        <v/>
      </c>
      <c r="EC15" s="703">
        <f>IF(EC$4&lt;&gt;1,"",COUNTIF(EC9:EC13,"&gt;0"))</f>
        <v/>
      </c>
      <c r="ED15" s="703">
        <f>IF(ED$4&lt;&gt;1,"",COUNTIF(ED9:ED13,"&gt;0"))</f>
        <v/>
      </c>
      <c r="EE15" s="703">
        <f>IF(EE$4&lt;&gt;1,"",COUNTIF(EE9:EE13,"&gt;0"))</f>
        <v/>
      </c>
      <c r="EF15" s="703">
        <f>IF(EF$4&lt;&gt;1,"",COUNTIF(EF9:EF13,"&gt;0"))</f>
        <v/>
      </c>
      <c r="EG15" s="704" t="n"/>
      <c r="EH15" s="705" t="n"/>
      <c r="EI15" s="706" t="n"/>
      <c r="EJ15" s="702">
        <f>IF(EJ$4&lt;&gt;1,"",COUNTIF(EJ9:EJ13,"&gt;0"))</f>
        <v/>
      </c>
      <c r="EK15" s="703">
        <f>IF(EK$4&lt;&gt;1,"",COUNTIF(EK9:EK13,"&gt;0"))</f>
        <v/>
      </c>
      <c r="EL15" s="703">
        <f>IF(EL$4&lt;&gt;1,"",COUNTIF(EL9:EL13,"&gt;0"))</f>
        <v/>
      </c>
      <c r="EM15" s="703">
        <f>IF(EM$4&lt;&gt;1,"",COUNTIF(EM9:EM13,"&gt;0"))</f>
        <v/>
      </c>
      <c r="EN15" s="703">
        <f>IF(EN$4&lt;&gt;1,"",COUNTIF(EN9:EN13,"&gt;0"))</f>
        <v/>
      </c>
      <c r="EO15" s="703">
        <f>IF(EO$4&lt;&gt;1,"",COUNTIF(EO9:EO13,"&gt;0"))</f>
        <v/>
      </c>
      <c r="EP15" s="703">
        <f>IF(EP$4&lt;&gt;1,"",COUNTIF(EP9:EP13,"&gt;0"))</f>
        <v/>
      </c>
      <c r="EQ15" s="703">
        <f>IF(EQ$4&lt;&gt;1,"",COUNTIF(EQ9:EQ13,"&gt;0"))</f>
        <v/>
      </c>
      <c r="ER15" s="703">
        <f>IF(ER$4&lt;&gt;1,"",COUNTIF(ER9:ER13,"&gt;0"))</f>
        <v/>
      </c>
      <c r="ES15" s="703">
        <f>IF(ES$4&lt;&gt;1,"",COUNTIF(ES9:ES13,"&gt;0"))</f>
        <v/>
      </c>
      <c r="ET15" s="703">
        <f>IF(ET$4&lt;&gt;1,"",COUNTIF(ET9:ET13,"&gt;0"))</f>
        <v/>
      </c>
      <c r="EU15" s="703">
        <f>IF(EU$4&lt;&gt;1,"",COUNTIF(EU9:EU13,"&gt;0"))</f>
        <v/>
      </c>
      <c r="EV15" s="703">
        <f>IF(EV$4&lt;&gt;1,"",COUNTIF(EV9:EV13,"&gt;0"))</f>
        <v/>
      </c>
      <c r="EW15" s="703">
        <f>IF(EW$4&lt;&gt;1,"",COUNTIF(EW9:EW13,"&gt;0"))</f>
        <v/>
      </c>
      <c r="EX15" s="703">
        <f>IF(EX$4&lt;&gt;1,"",COUNTIF(EX9:EX13,"&gt;0"))</f>
        <v/>
      </c>
      <c r="EY15" s="703">
        <f>IF(EY$4&lt;&gt;1,"",COUNTIF(EY9:EY13,"&gt;0"))</f>
        <v/>
      </c>
      <c r="EZ15" s="703">
        <f>IF(EZ$4&lt;&gt;1,"",COUNTIF(EZ9:EZ13,"&gt;0"))</f>
        <v/>
      </c>
      <c r="FA15" s="703">
        <f>IF(FA$4&lt;&gt;1,"",COUNTIF(FA9:FA13,"&gt;0"))</f>
        <v/>
      </c>
      <c r="FB15" s="703">
        <f>IF(FB$4&lt;&gt;1,"",COUNTIF(FB9:FB13,"&gt;0"))</f>
        <v/>
      </c>
      <c r="FC15" s="703">
        <f>IF(FC$4&lt;&gt;1,"",COUNTIF(FC9:FC13,"&gt;0"))</f>
        <v/>
      </c>
      <c r="FD15" s="703">
        <f>IF(FD$4&lt;&gt;1,"",COUNTIF(FD9:FD13,"&gt;0"))</f>
        <v/>
      </c>
      <c r="FE15" s="703">
        <f>IF(FE$4&lt;&gt;1,"",COUNTIF(FE9:FE13,"&gt;0"))</f>
        <v/>
      </c>
      <c r="FF15" s="703">
        <f>IF(FF$4&lt;&gt;1,"",COUNTIF(FF9:FF13,"&gt;0"))</f>
        <v/>
      </c>
      <c r="FG15" s="703">
        <f>IF(FG$4&lt;&gt;1,"",COUNTIF(FG9:FG13,"&gt;0"))</f>
        <v/>
      </c>
      <c r="FH15" s="703">
        <f>IF(FH$4&lt;&gt;1,"",COUNTIF(FH9:FH13,"&gt;0"))</f>
        <v/>
      </c>
      <c r="FI15" s="703">
        <f>IF(FI$4&lt;&gt;1,"",COUNTIF(FI9:FI13,"&gt;0"))</f>
        <v/>
      </c>
      <c r="FJ15" s="703">
        <f>IF(FJ$4&lt;&gt;1,"",COUNTIF(FJ9:FJ13,"&gt;0"))</f>
        <v/>
      </c>
      <c r="FK15" s="703">
        <f>IF(FK$4&lt;&gt;1,"",COUNTIF(FK9:FK13,"&gt;0"))</f>
        <v/>
      </c>
      <c r="FL15" s="703">
        <f>IF(FL$4&lt;&gt;1,"",COUNTIF(FL9:FL13,"&gt;0"))</f>
        <v/>
      </c>
      <c r="FM15" s="703">
        <f>IF(FM$4&lt;&gt;1,"",COUNTIF(FM9:FM13,"&gt;0"))</f>
        <v/>
      </c>
      <c r="FN15" s="703">
        <f>IF(FN$4&lt;&gt;1,"",COUNTIF(FN9:FN13,"&gt;0"))</f>
        <v/>
      </c>
      <c r="FO15" s="704" t="n"/>
      <c r="FP15" s="705" t="n"/>
      <c r="FQ15" s="706" t="n"/>
      <c r="FR15" s="702">
        <f>IF(FR$4&lt;&gt;1,"",COUNTIF(FR9:FR13,"&gt;0"))</f>
        <v/>
      </c>
      <c r="FS15" s="703">
        <f>IF(FS$4&lt;&gt;1,"",COUNTIF(FS9:FS13,"&gt;0"))</f>
        <v/>
      </c>
      <c r="FT15" s="703">
        <f>IF(FT$4&lt;&gt;1,"",COUNTIF(FT9:FT13,"&gt;0"))</f>
        <v/>
      </c>
      <c r="FU15" s="703">
        <f>IF(FU$4&lt;&gt;1,"",COUNTIF(FU9:FU13,"&gt;0"))</f>
        <v/>
      </c>
      <c r="FV15" s="703">
        <f>IF(FV$4&lt;&gt;1,"",COUNTIF(FV9:FV13,"&gt;0"))</f>
        <v/>
      </c>
      <c r="FW15" s="703">
        <f>IF(FW$4&lt;&gt;1,"",COUNTIF(FW9:FW13,"&gt;0"))</f>
        <v/>
      </c>
      <c r="FX15" s="703">
        <f>IF(FX$4&lt;&gt;1,"",COUNTIF(FX9:FX13,"&gt;0"))</f>
        <v/>
      </c>
      <c r="FY15" s="703">
        <f>IF(FY$4&lt;&gt;1,"",COUNTIF(FY9:FY13,"&gt;0"))</f>
        <v/>
      </c>
      <c r="FZ15" s="703">
        <f>IF(FZ$4&lt;&gt;1,"",COUNTIF(FZ9:FZ13,"&gt;0"))</f>
        <v/>
      </c>
      <c r="GA15" s="703">
        <f>IF(GA$4&lt;&gt;1,"",COUNTIF(GA9:GA13,"&gt;0"))</f>
        <v/>
      </c>
      <c r="GB15" s="703">
        <f>IF(GB$4&lt;&gt;1,"",COUNTIF(GB9:GB13,"&gt;0"))</f>
        <v/>
      </c>
      <c r="GC15" s="703">
        <f>IF(GC$4&lt;&gt;1,"",COUNTIF(GC9:GC13,"&gt;0"))</f>
        <v/>
      </c>
      <c r="GD15" s="703">
        <f>IF(GD$4&lt;&gt;1,"",COUNTIF(GD9:GD13,"&gt;0"))</f>
        <v/>
      </c>
      <c r="GE15" s="703">
        <f>IF(GE$4&lt;&gt;1,"",COUNTIF(GE9:GE13,"&gt;0"))</f>
        <v/>
      </c>
      <c r="GF15" s="703">
        <f>IF(GF$4&lt;&gt;1,"",COUNTIF(GF9:GF13,"&gt;0"))</f>
        <v/>
      </c>
      <c r="GG15" s="703">
        <f>IF(GG$4&lt;&gt;1,"",COUNTIF(GG9:GG13,"&gt;0"))</f>
        <v/>
      </c>
      <c r="GH15" s="703">
        <f>IF(GH$4&lt;&gt;1,"",COUNTIF(GH9:GH13,"&gt;0"))</f>
        <v/>
      </c>
      <c r="GI15" s="703">
        <f>IF(GI$4&lt;&gt;1,"",COUNTIF(GI9:GI13,"&gt;0"))</f>
        <v/>
      </c>
      <c r="GJ15" s="703">
        <f>IF(GJ$4&lt;&gt;1,"",COUNTIF(GJ9:GJ13,"&gt;0"))</f>
        <v/>
      </c>
      <c r="GK15" s="703">
        <f>IF(GK$4&lt;&gt;1,"",COUNTIF(GK9:GK13,"&gt;0"))</f>
        <v/>
      </c>
      <c r="GL15" s="703">
        <f>IF(GL$4&lt;&gt;1,"",COUNTIF(GL9:GL13,"&gt;0"))</f>
        <v/>
      </c>
      <c r="GM15" s="703">
        <f>IF(GM$4&lt;&gt;1,"",COUNTIF(GM9:GM13,"&gt;0"))</f>
        <v/>
      </c>
      <c r="GN15" s="703">
        <f>IF(GN$4&lt;&gt;1,"",COUNTIF(GN9:GN13,"&gt;0"))</f>
        <v/>
      </c>
      <c r="GO15" s="703">
        <f>IF(GO$4&lt;&gt;1,"",COUNTIF(GO9:GO13,"&gt;0"))</f>
        <v/>
      </c>
      <c r="GP15" s="703">
        <f>IF(GP$4&lt;&gt;1,"",COUNTIF(GP9:GP13,"&gt;0"))</f>
        <v/>
      </c>
      <c r="GQ15" s="703">
        <f>IF(GQ$4&lt;&gt;1,"",COUNTIF(GQ9:GQ13,"&gt;0"))</f>
        <v/>
      </c>
      <c r="GR15" s="703">
        <f>IF(GR$4&lt;&gt;1,"",COUNTIF(GR9:GR13,"&gt;0"))</f>
        <v/>
      </c>
      <c r="GS15" s="703">
        <f>IF(GS$4&lt;&gt;1,"",COUNTIF(GS9:GS13,"&gt;0"))</f>
        <v/>
      </c>
      <c r="GT15" s="703">
        <f>IF(GT$4&lt;&gt;1,"",COUNTIF(GT9:GT13,"&gt;0"))</f>
        <v/>
      </c>
      <c r="GU15" s="703">
        <f>IF(GU$4&lt;&gt;1,"",COUNTIF(GU9:GU13,"&gt;0"))</f>
        <v/>
      </c>
      <c r="GV15" s="703">
        <f>IF(GV$4&lt;&gt;1,"",COUNTIF(GV9:GV13,"&gt;0"))</f>
        <v/>
      </c>
      <c r="GW15" s="704" t="n"/>
      <c r="GX15" s="705" t="n"/>
      <c r="GY15" s="706" t="n"/>
    </row>
    <row r="16">
      <c r="A16" s="701" t="inlineStr"/>
      <c r="B16" s="184" t="n"/>
      <c r="C16" s="184" t="n"/>
      <c r="D16" s="707" t="n"/>
      <c r="E16" s="708" t="n"/>
      <c r="F16" s="708" t="n"/>
      <c r="G16" s="708" t="n"/>
      <c r="H16" s="708" t="n"/>
      <c r="I16" s="708" t="n"/>
      <c r="J16" s="708" t="n"/>
      <c r="K16" s="708" t="n"/>
      <c r="L16" s="708" t="n"/>
      <c r="M16" s="708" t="n"/>
      <c r="N16" s="708" t="n"/>
      <c r="O16" s="708" t="n"/>
      <c r="P16" s="708" t="n"/>
      <c r="Q16" s="708" t="n"/>
      <c r="R16" s="708" t="n"/>
      <c r="S16" s="708" t="n"/>
      <c r="T16" s="708" t="n"/>
      <c r="U16" s="708" t="n"/>
      <c r="V16" s="708" t="n"/>
      <c r="W16" s="708" t="n"/>
      <c r="X16" s="708" t="n"/>
      <c r="Y16" s="708" t="n"/>
      <c r="Z16" s="708" t="n"/>
      <c r="AA16" s="708" t="n"/>
      <c r="AB16" s="708" t="n"/>
      <c r="AC16" s="708" t="n"/>
      <c r="AD16" s="708" t="n"/>
      <c r="AE16" s="708" t="n"/>
      <c r="AF16" s="708" t="n"/>
      <c r="AG16" s="708" t="n"/>
      <c r="AH16" s="708" t="n"/>
      <c r="AI16" s="704" t="n"/>
      <c r="AJ16" s="705" t="n"/>
      <c r="AK16" s="706" t="n"/>
      <c r="AL16" s="707" t="n"/>
      <c r="AM16" s="708" t="n"/>
      <c r="AN16" s="708" t="n"/>
      <c r="AO16" s="708" t="n"/>
      <c r="AP16" s="708" t="n"/>
      <c r="AQ16" s="708" t="n"/>
      <c r="AR16" s="708" t="n"/>
      <c r="AS16" s="708" t="n"/>
      <c r="AT16" s="708" t="n"/>
      <c r="AU16" s="708" t="n"/>
      <c r="AV16" s="708" t="n"/>
      <c r="AW16" s="708" t="n"/>
      <c r="AX16" s="708" t="n"/>
      <c r="AY16" s="708" t="n"/>
      <c r="AZ16" s="708" t="n"/>
      <c r="BA16" s="708" t="n"/>
      <c r="BB16" s="708" t="n"/>
      <c r="BC16" s="708" t="n"/>
      <c r="BD16" s="708" t="n"/>
      <c r="BE16" s="708" t="n"/>
      <c r="BF16" s="708" t="n"/>
      <c r="BG16" s="708" t="n"/>
      <c r="BH16" s="708" t="n"/>
      <c r="BI16" s="708" t="n"/>
      <c r="BJ16" s="708" t="n"/>
      <c r="BK16" s="708" t="n"/>
      <c r="BL16" s="708" t="n"/>
      <c r="BM16" s="708" t="n"/>
      <c r="BN16" s="708" t="n"/>
      <c r="BO16" s="708" t="n"/>
      <c r="BP16" s="708" t="n"/>
      <c r="BQ16" s="704" t="n"/>
      <c r="BR16" s="705" t="n"/>
      <c r="BS16" s="706" t="n"/>
      <c r="BT16" s="707" t="n"/>
      <c r="BU16" s="708" t="n"/>
      <c r="BV16" s="708" t="n"/>
      <c r="BW16" s="708" t="n"/>
      <c r="BX16" s="708" t="n"/>
      <c r="BY16" s="708" t="n"/>
      <c r="BZ16" s="708" t="n"/>
      <c r="CA16" s="708" t="n"/>
      <c r="CB16" s="708" t="n"/>
      <c r="CC16" s="708" t="n"/>
      <c r="CD16" s="708" t="n"/>
      <c r="CE16" s="708" t="n"/>
      <c r="CF16" s="708" t="n"/>
      <c r="CG16" s="708" t="n"/>
      <c r="CH16" s="708" t="n"/>
      <c r="CI16" s="708" t="n"/>
      <c r="CJ16" s="708" t="n"/>
      <c r="CK16" s="708" t="n"/>
      <c r="CL16" s="708" t="n"/>
      <c r="CM16" s="708" t="n"/>
      <c r="CN16" s="708" t="n"/>
      <c r="CO16" s="708" t="n"/>
      <c r="CP16" s="708" t="n"/>
      <c r="CQ16" s="708" t="n"/>
      <c r="CR16" s="708" t="n"/>
      <c r="CS16" s="708" t="n"/>
      <c r="CT16" s="708" t="n"/>
      <c r="CU16" s="708" t="n"/>
      <c r="CV16" s="708" t="n"/>
      <c r="CW16" s="708" t="n"/>
      <c r="CX16" s="708" t="n"/>
      <c r="CY16" s="704" t="n"/>
      <c r="CZ16" s="705" t="n"/>
      <c r="DA16" s="706" t="n"/>
      <c r="DB16" s="707" t="n"/>
      <c r="DC16" s="708" t="n"/>
      <c r="DD16" s="708" t="n"/>
      <c r="DE16" s="708" t="n"/>
      <c r="DF16" s="708" t="n"/>
      <c r="DG16" s="708" t="n"/>
      <c r="DH16" s="708" t="n"/>
      <c r="DI16" s="708" t="n"/>
      <c r="DJ16" s="708" t="n"/>
      <c r="DK16" s="708" t="n"/>
      <c r="DL16" s="708" t="n"/>
      <c r="DM16" s="708" t="n"/>
      <c r="DN16" s="708" t="n"/>
      <c r="DO16" s="708" t="n"/>
      <c r="DP16" s="708" t="n"/>
      <c r="DQ16" s="708" t="n"/>
      <c r="DR16" s="708" t="n"/>
      <c r="DS16" s="708" t="n"/>
      <c r="DT16" s="708" t="n"/>
      <c r="DU16" s="708" t="n"/>
      <c r="DV16" s="708" t="n"/>
      <c r="DW16" s="708" t="n"/>
      <c r="DX16" s="708" t="n"/>
      <c r="DY16" s="708" t="n"/>
      <c r="DZ16" s="708" t="n"/>
      <c r="EA16" s="708" t="n"/>
      <c r="EB16" s="708" t="n"/>
      <c r="EC16" s="708" t="n"/>
      <c r="ED16" s="708" t="n"/>
      <c r="EE16" s="708" t="n"/>
      <c r="EF16" s="708" t="n"/>
      <c r="EG16" s="704" t="n"/>
      <c r="EH16" s="705" t="n"/>
      <c r="EI16" s="706" t="n"/>
      <c r="EJ16" s="707" t="n"/>
      <c r="EK16" s="708" t="n"/>
      <c r="EL16" s="708" t="n"/>
      <c r="EM16" s="708" t="n"/>
      <c r="EN16" s="708" t="n"/>
      <c r="EO16" s="708" t="n"/>
      <c r="EP16" s="708" t="n"/>
      <c r="EQ16" s="708" t="n"/>
      <c r="ER16" s="708" t="n"/>
      <c r="ES16" s="708" t="n"/>
      <c r="ET16" s="708" t="n"/>
      <c r="EU16" s="708" t="n"/>
      <c r="EV16" s="708" t="n"/>
      <c r="EW16" s="708" t="n"/>
      <c r="EX16" s="708" t="n"/>
      <c r="EY16" s="708" t="n"/>
      <c r="EZ16" s="708" t="n"/>
      <c r="FA16" s="708" t="n"/>
      <c r="FB16" s="708" t="n"/>
      <c r="FC16" s="708" t="n"/>
      <c r="FD16" s="708" t="n"/>
      <c r="FE16" s="708" t="n"/>
      <c r="FF16" s="708" t="n"/>
      <c r="FG16" s="708" t="n"/>
      <c r="FH16" s="708" t="n"/>
      <c r="FI16" s="708" t="n"/>
      <c r="FJ16" s="708" t="n"/>
      <c r="FK16" s="708" t="n"/>
      <c r="FL16" s="708" t="n"/>
      <c r="FM16" s="708" t="n"/>
      <c r="FN16" s="708" t="n"/>
      <c r="FO16" s="704" t="n"/>
      <c r="FP16" s="705" t="n"/>
      <c r="FQ16" s="706" t="n"/>
      <c r="FR16" s="707" t="n"/>
      <c r="FS16" s="708" t="n"/>
      <c r="FT16" s="708" t="n"/>
      <c r="FU16" s="708" t="n"/>
      <c r="FV16" s="708" t="n"/>
      <c r="FW16" s="708" t="n"/>
      <c r="FX16" s="708" t="n"/>
      <c r="FY16" s="708" t="n"/>
      <c r="FZ16" s="708" t="n"/>
      <c r="GA16" s="708" t="n"/>
      <c r="GB16" s="708" t="n"/>
      <c r="GC16" s="708" t="n"/>
      <c r="GD16" s="708" t="n"/>
      <c r="GE16" s="708" t="n"/>
      <c r="GF16" s="708" t="n"/>
      <c r="GG16" s="708" t="n"/>
      <c r="GH16" s="708" t="n"/>
      <c r="GI16" s="708" t="n"/>
      <c r="GJ16" s="708" t="n"/>
      <c r="GK16" s="708" t="n"/>
      <c r="GL16" s="708" t="n"/>
      <c r="GM16" s="708" t="n"/>
      <c r="GN16" s="708" t="n"/>
      <c r="GO16" s="708" t="n"/>
      <c r="GP16" s="708" t="n"/>
      <c r="GQ16" s="708" t="n"/>
      <c r="GR16" s="708" t="n"/>
      <c r="GS16" s="708" t="n"/>
      <c r="GT16" s="708" t="n"/>
      <c r="GU16" s="708" t="n"/>
      <c r="GV16" s="708" t="n"/>
      <c r="GW16" s="704" t="n"/>
      <c r="GX16" s="705" t="n"/>
      <c r="GY16" s="706" t="n"/>
    </row>
    <row r="17">
      <c r="A17" s="701" t="inlineStr"/>
      <c r="B17" s="184" t="n"/>
      <c r="C17" s="184" t="n"/>
      <c r="D17" s="707" t="n"/>
      <c r="E17" s="708" t="n"/>
      <c r="F17" s="708" t="n"/>
      <c r="G17" s="708" t="n"/>
      <c r="H17" s="708" t="n"/>
      <c r="I17" s="708" t="n"/>
      <c r="J17" s="708" t="n"/>
      <c r="K17" s="708" t="n"/>
      <c r="L17" s="708" t="n"/>
      <c r="M17" s="708" t="n"/>
      <c r="N17" s="708" t="n"/>
      <c r="O17" s="708" t="n"/>
      <c r="P17" s="708" t="n"/>
      <c r="Q17" s="708" t="n"/>
      <c r="R17" s="708" t="n"/>
      <c r="S17" s="708" t="n"/>
      <c r="T17" s="708" t="n"/>
      <c r="U17" s="708" t="n"/>
      <c r="V17" s="708" t="n"/>
      <c r="W17" s="708" t="n"/>
      <c r="X17" s="708" t="n"/>
      <c r="Y17" s="708" t="n"/>
      <c r="Z17" s="708" t="n"/>
      <c r="AA17" s="708" t="n"/>
      <c r="AB17" s="708" t="n"/>
      <c r="AC17" s="708" t="n"/>
      <c r="AD17" s="708" t="n"/>
      <c r="AE17" s="708" t="n"/>
      <c r="AF17" s="708" t="n"/>
      <c r="AG17" s="708" t="n"/>
      <c r="AH17" s="708" t="n"/>
      <c r="AI17" s="704" t="n"/>
      <c r="AJ17" s="705" t="n"/>
      <c r="AK17" s="706" t="n"/>
      <c r="AL17" s="707" t="n"/>
      <c r="AM17" s="708" t="n"/>
      <c r="AN17" s="708" t="n"/>
      <c r="AO17" s="708" t="n"/>
      <c r="AP17" s="708" t="n"/>
      <c r="AQ17" s="708" t="n"/>
      <c r="AR17" s="708" t="n"/>
      <c r="AS17" s="708" t="n"/>
      <c r="AT17" s="708" t="n"/>
      <c r="AU17" s="708" t="n"/>
      <c r="AV17" s="708" t="n"/>
      <c r="AW17" s="708" t="n"/>
      <c r="AX17" s="708" t="n"/>
      <c r="AY17" s="708" t="n"/>
      <c r="AZ17" s="708" t="n"/>
      <c r="BA17" s="708" t="n"/>
      <c r="BB17" s="708" t="n"/>
      <c r="BC17" s="708" t="n"/>
      <c r="BD17" s="708" t="n"/>
      <c r="BE17" s="708" t="n"/>
      <c r="BF17" s="708" t="n"/>
      <c r="BG17" s="708" t="n"/>
      <c r="BH17" s="708" t="n"/>
      <c r="BI17" s="708" t="n"/>
      <c r="BJ17" s="708" t="n"/>
      <c r="BK17" s="708" t="n"/>
      <c r="BL17" s="708" t="n"/>
      <c r="BM17" s="708" t="n"/>
      <c r="BN17" s="708" t="n"/>
      <c r="BO17" s="708" t="n"/>
      <c r="BP17" s="708" t="n"/>
      <c r="BQ17" s="704" t="n"/>
      <c r="BR17" s="705" t="n"/>
      <c r="BS17" s="706" t="n"/>
      <c r="BT17" s="707" t="n"/>
      <c r="BU17" s="708" t="n"/>
      <c r="BV17" s="708" t="n"/>
      <c r="BW17" s="708" t="n"/>
      <c r="BX17" s="708" t="n"/>
      <c r="BY17" s="708" t="n"/>
      <c r="BZ17" s="708" t="n"/>
      <c r="CA17" s="708" t="n"/>
      <c r="CB17" s="708" t="n"/>
      <c r="CC17" s="708" t="n"/>
      <c r="CD17" s="708" t="n"/>
      <c r="CE17" s="708" t="n"/>
      <c r="CF17" s="708" t="n"/>
      <c r="CG17" s="708" t="n"/>
      <c r="CH17" s="708" t="n"/>
      <c r="CI17" s="708" t="n"/>
      <c r="CJ17" s="708" t="n"/>
      <c r="CK17" s="708" t="n"/>
      <c r="CL17" s="708" t="n"/>
      <c r="CM17" s="708" t="n"/>
      <c r="CN17" s="708" t="n"/>
      <c r="CO17" s="708" t="n"/>
      <c r="CP17" s="708" t="n"/>
      <c r="CQ17" s="708" t="n"/>
      <c r="CR17" s="708" t="n"/>
      <c r="CS17" s="708" t="n"/>
      <c r="CT17" s="708" t="n"/>
      <c r="CU17" s="708" t="n"/>
      <c r="CV17" s="708" t="n"/>
      <c r="CW17" s="708" t="n"/>
      <c r="CX17" s="708" t="n"/>
      <c r="CY17" s="704" t="n"/>
      <c r="CZ17" s="705" t="n"/>
      <c r="DA17" s="706" t="n"/>
      <c r="DB17" s="707" t="n"/>
      <c r="DC17" s="708" t="n"/>
      <c r="DD17" s="708" t="n"/>
      <c r="DE17" s="708" t="n"/>
      <c r="DF17" s="708" t="n"/>
      <c r="DG17" s="708" t="n"/>
      <c r="DH17" s="708" t="n"/>
      <c r="DI17" s="708" t="n"/>
      <c r="DJ17" s="708" t="n"/>
      <c r="DK17" s="708" t="n"/>
      <c r="DL17" s="708" t="n"/>
      <c r="DM17" s="708" t="n"/>
      <c r="DN17" s="708" t="n"/>
      <c r="DO17" s="708" t="n"/>
      <c r="DP17" s="708" t="n"/>
      <c r="DQ17" s="708" t="n"/>
      <c r="DR17" s="708" t="n"/>
      <c r="DS17" s="708" t="n"/>
      <c r="DT17" s="708" t="n"/>
      <c r="DU17" s="708" t="n"/>
      <c r="DV17" s="708" t="n"/>
      <c r="DW17" s="708" t="n"/>
      <c r="DX17" s="708" t="n"/>
      <c r="DY17" s="708" t="n"/>
      <c r="DZ17" s="708" t="n"/>
      <c r="EA17" s="708" t="n"/>
      <c r="EB17" s="708" t="n"/>
      <c r="EC17" s="708" t="n"/>
      <c r="ED17" s="708" t="n"/>
      <c r="EE17" s="708" t="n"/>
      <c r="EF17" s="708" t="n"/>
      <c r="EG17" s="704" t="n"/>
      <c r="EH17" s="705" t="n"/>
      <c r="EI17" s="706" t="n"/>
      <c r="EJ17" s="707" t="n"/>
      <c r="EK17" s="708" t="n"/>
      <c r="EL17" s="708" t="n"/>
      <c r="EM17" s="708" t="n"/>
      <c r="EN17" s="708" t="n"/>
      <c r="EO17" s="708" t="n"/>
      <c r="EP17" s="708" t="n"/>
      <c r="EQ17" s="708" t="n"/>
      <c r="ER17" s="708" t="n"/>
      <c r="ES17" s="708" t="n"/>
      <c r="ET17" s="708" t="n"/>
      <c r="EU17" s="708" t="n"/>
      <c r="EV17" s="708" t="n"/>
      <c r="EW17" s="708" t="n"/>
      <c r="EX17" s="708" t="n"/>
      <c r="EY17" s="708" t="n"/>
      <c r="EZ17" s="708" t="n"/>
      <c r="FA17" s="708" t="n"/>
      <c r="FB17" s="708" t="n"/>
      <c r="FC17" s="708" t="n"/>
      <c r="FD17" s="708" t="n"/>
      <c r="FE17" s="708" t="n"/>
      <c r="FF17" s="708" t="n"/>
      <c r="FG17" s="708" t="n"/>
      <c r="FH17" s="708" t="n"/>
      <c r="FI17" s="708" t="n"/>
      <c r="FJ17" s="708" t="n"/>
      <c r="FK17" s="708" t="n"/>
      <c r="FL17" s="708" t="n"/>
      <c r="FM17" s="708" t="n"/>
      <c r="FN17" s="708" t="n"/>
      <c r="FO17" s="704" t="n"/>
      <c r="FP17" s="705" t="n"/>
      <c r="FQ17" s="706" t="n"/>
      <c r="FR17" s="707" t="n"/>
      <c r="FS17" s="708" t="n"/>
      <c r="FT17" s="708" t="n"/>
      <c r="FU17" s="708" t="n"/>
      <c r="FV17" s="708" t="n"/>
      <c r="FW17" s="708" t="n"/>
      <c r="FX17" s="708" t="n"/>
      <c r="FY17" s="708" t="n"/>
      <c r="FZ17" s="708" t="n"/>
      <c r="GA17" s="708" t="n"/>
      <c r="GB17" s="708" t="n"/>
      <c r="GC17" s="708" t="n"/>
      <c r="GD17" s="708" t="n"/>
      <c r="GE17" s="708" t="n"/>
      <c r="GF17" s="708" t="n"/>
      <c r="GG17" s="708" t="n"/>
      <c r="GH17" s="708" t="n"/>
      <c r="GI17" s="708" t="n"/>
      <c r="GJ17" s="708" t="n"/>
      <c r="GK17" s="708" t="n"/>
      <c r="GL17" s="708" t="n"/>
      <c r="GM17" s="708" t="n"/>
      <c r="GN17" s="708" t="n"/>
      <c r="GO17" s="708" t="n"/>
      <c r="GP17" s="708" t="n"/>
      <c r="GQ17" s="708" t="n"/>
      <c r="GR17" s="708" t="n"/>
      <c r="GS17" s="708" t="n"/>
      <c r="GT17" s="708" t="n"/>
      <c r="GU17" s="708" t="n"/>
      <c r="GV17" s="708" t="n"/>
      <c r="GW17" s="704" t="n"/>
      <c r="GX17" s="705" t="n"/>
      <c r="GY17" s="70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7">
    <mergeCell ref="FO5:FQ5"/>
    <mergeCell ref="C5:C8"/>
    <mergeCell ref="FR5:GV5"/>
    <mergeCell ref="GY6:GY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GW5:GY5"/>
    <mergeCell ref="A14:C14"/>
    <mergeCell ref="D5:AH5"/>
    <mergeCell ref="A17:C17"/>
    <mergeCell ref="GW6:GW8"/>
    <mergeCell ref="DB5:EF5"/>
    <mergeCell ref="EH6:EH8"/>
    <mergeCell ref="AI6:AI8"/>
    <mergeCell ref="A16:C16"/>
    <mergeCell ref="AI5:AK5"/>
    <mergeCell ref="GX6:GX8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GY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GY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OR('มาเรียน-ภ1'!D9="ข",'มาเรียน-ภ1'!D9="ล",'มาเรียน-ภ1'!D9="ป")</formula>
    </cfRule>
  </conditionalFormatting>
  <dataValidations count="6">
    <dataValidation sqref="D9:AH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AL9:BP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BT9:CX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DB9:EF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EJ9:FN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FR9:GV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tabColor rgb="00FCC850"/>
    <outlinePr summaryBelow="1" summaryRight="1"/>
    <pageSetUpPr fitToPage="1"/>
  </sheetPr>
  <dimension ref="A1:FQ21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8.5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4.3" customWidth="1" min="34" max="34"/>
    <col width="7" customWidth="1" min="35" max="35"/>
    <col width="7" customWidth="1" min="36" max="36"/>
    <col width="7" customWidth="1" min="37" max="37"/>
    <col width="4.3" customWidth="1" min="38" max="38"/>
    <col width="4.3" customWidth="1" min="39" max="39"/>
    <col width="4.3" customWidth="1" min="40" max="40"/>
    <col width="4.3" customWidth="1" min="41" max="41"/>
    <col width="4.3" customWidth="1" min="42" max="42"/>
    <col width="4.3" customWidth="1" min="43" max="43"/>
    <col width="4.3" customWidth="1" min="44" max="44"/>
    <col width="4.3" customWidth="1" min="45" max="45"/>
    <col width="4.3" customWidth="1" min="46" max="46"/>
    <col width="4.3" customWidth="1" min="47" max="47"/>
    <col width="4.3" customWidth="1" min="48" max="48"/>
    <col width="4.3" customWidth="1" min="49" max="49"/>
    <col width="4.3" customWidth="1" min="50" max="50"/>
    <col width="4.3" customWidth="1" min="51" max="51"/>
    <col width="4.3" customWidth="1" min="52" max="52"/>
    <col width="4.3" customWidth="1" min="53" max="53"/>
    <col width="4.3" customWidth="1" min="54" max="54"/>
    <col width="4.3" customWidth="1" min="55" max="55"/>
    <col width="4.3" customWidth="1" min="56" max="56"/>
    <col width="4.3" customWidth="1" min="57" max="57"/>
    <col width="4.3" customWidth="1" min="58" max="58"/>
    <col width="4.3" customWidth="1" min="59" max="59"/>
    <col width="4.3" customWidth="1" min="60" max="60"/>
    <col width="4.3" customWidth="1" min="61" max="61"/>
    <col width="4.3" customWidth="1" min="62" max="62"/>
    <col width="4.3" customWidth="1" min="63" max="63"/>
    <col width="4.3" customWidth="1" min="64" max="64"/>
    <col width="4.3" customWidth="1" min="65" max="65"/>
    <col width="4.3" customWidth="1" min="66" max="66"/>
    <col width="4.3" customWidth="1" min="67" max="67"/>
    <col width="4.3" customWidth="1" min="68" max="68"/>
    <col width="7" customWidth="1" min="69" max="69"/>
    <col width="7" customWidth="1" min="70" max="70"/>
    <col width="7" customWidth="1" min="71" max="71"/>
    <col width="4.3" customWidth="1" min="72" max="72"/>
    <col width="4.3" customWidth="1" min="73" max="73"/>
    <col width="4.3" customWidth="1" min="74" max="74"/>
    <col width="4.3" customWidth="1" min="75" max="75"/>
    <col width="4.3" customWidth="1" min="76" max="76"/>
    <col width="4.3" customWidth="1" min="77" max="77"/>
    <col width="4.3" customWidth="1" min="78" max="78"/>
    <col width="4.3" customWidth="1" min="79" max="79"/>
    <col width="4.3" customWidth="1" min="80" max="80"/>
    <col width="4.3" customWidth="1" min="81" max="81"/>
    <col width="4.3" customWidth="1" min="82" max="82"/>
    <col width="4.3" customWidth="1" min="83" max="83"/>
    <col width="4.3" customWidth="1" min="84" max="84"/>
    <col width="4.3" customWidth="1" min="85" max="85"/>
    <col width="4.3" customWidth="1" min="86" max="86"/>
    <col width="4.3" customWidth="1" min="87" max="87"/>
    <col width="4.3" customWidth="1" min="88" max="88"/>
    <col width="4.3" customWidth="1" min="89" max="89"/>
    <col width="4.3" customWidth="1" min="90" max="90"/>
    <col width="4.3" customWidth="1" min="91" max="91"/>
    <col width="4.3" customWidth="1" min="92" max="92"/>
    <col width="4.3" customWidth="1" min="93" max="93"/>
    <col width="4.3" customWidth="1" min="94" max="94"/>
    <col width="4.3" customWidth="1" min="95" max="95"/>
    <col width="4.3" customWidth="1" min="96" max="96"/>
    <col width="4.3" customWidth="1" min="97" max="97"/>
    <col width="4.3" customWidth="1" min="98" max="98"/>
    <col width="4.3" customWidth="1" min="99" max="99"/>
    <col width="4.3" customWidth="1" min="100" max="100"/>
    <col width="4.3" customWidth="1" min="101" max="101"/>
    <col width="4.3" customWidth="1" min="102" max="102"/>
    <col width="7" customWidth="1" min="103" max="103"/>
    <col width="7" customWidth="1" min="104" max="104"/>
    <col width="7" customWidth="1" min="105" max="105"/>
    <col width="4.3" customWidth="1" min="106" max="106"/>
    <col width="4.3" customWidth="1" min="107" max="107"/>
    <col width="4.3" customWidth="1" min="108" max="108"/>
    <col width="4.3" customWidth="1" min="109" max="109"/>
    <col width="4.3" customWidth="1" min="110" max="110"/>
    <col width="4.3" customWidth="1" min="111" max="111"/>
    <col width="4.3" customWidth="1" min="112" max="112"/>
    <col width="4.3" customWidth="1" min="113" max="113"/>
    <col width="4.3" customWidth="1" min="114" max="114"/>
    <col width="4.3" customWidth="1" min="115" max="115"/>
    <col width="4.3" customWidth="1" min="116" max="116"/>
    <col width="4.3" customWidth="1" min="117" max="117"/>
    <col width="4.3" customWidth="1" min="118" max="118"/>
    <col width="4.3" customWidth="1" min="119" max="119"/>
    <col width="4.3" customWidth="1" min="120" max="120"/>
    <col width="4.3" customWidth="1" min="121" max="121"/>
    <col width="4.3" customWidth="1" min="122" max="122"/>
    <col width="4.3" customWidth="1" min="123" max="123"/>
    <col width="4.3" customWidth="1" min="124" max="124"/>
    <col width="4.3" customWidth="1" min="125" max="125"/>
    <col width="4.3" customWidth="1" min="126" max="126"/>
    <col width="4.3" customWidth="1" min="127" max="127"/>
    <col width="4.3" customWidth="1" min="128" max="128"/>
    <col width="4.3" customWidth="1" min="129" max="129"/>
    <col width="4.3" customWidth="1" min="130" max="130"/>
    <col width="4.3" customWidth="1" min="131" max="131"/>
    <col width="4.3" customWidth="1" min="132" max="132"/>
    <col width="4.3" customWidth="1" min="133" max="133"/>
    <col width="4.3" customWidth="1" min="134" max="134"/>
    <col width="4.3" customWidth="1" min="135" max="135"/>
    <col width="4.3" customWidth="1" min="136" max="136"/>
    <col width="7" customWidth="1" min="137" max="137"/>
    <col width="7" customWidth="1" min="138" max="138"/>
    <col width="7" customWidth="1" min="139" max="139"/>
    <col width="4.3" customWidth="1" min="140" max="140"/>
    <col width="4.3" customWidth="1" min="141" max="141"/>
    <col width="4.3" customWidth="1" min="142" max="142"/>
    <col width="4.3" customWidth="1" min="143" max="143"/>
    <col width="4.3" customWidth="1" min="144" max="144"/>
    <col width="4.3" customWidth="1" min="145" max="145"/>
    <col width="4.3" customWidth="1" min="146" max="146"/>
    <col width="4.3" customWidth="1" min="147" max="147"/>
    <col width="4.3" customWidth="1" min="148" max="148"/>
    <col width="4.3" customWidth="1" min="149" max="149"/>
    <col width="4.3" customWidth="1" min="150" max="150"/>
    <col width="4.3" customWidth="1" min="151" max="151"/>
    <col width="4.3" customWidth="1" min="152" max="152"/>
    <col width="4.3" customWidth="1" min="153" max="153"/>
    <col width="4.3" customWidth="1" min="154" max="154"/>
    <col width="4.3" customWidth="1" min="155" max="155"/>
    <col width="4.3" customWidth="1" min="156" max="156"/>
    <col width="4.3" customWidth="1" min="157" max="157"/>
    <col width="4.3" customWidth="1" min="158" max="158"/>
    <col width="4.3" customWidth="1" min="159" max="159"/>
    <col width="4.3" customWidth="1" min="160" max="160"/>
    <col width="4.3" customWidth="1" min="161" max="161"/>
    <col width="4.3" customWidth="1" min="162" max="162"/>
    <col width="4.3" customWidth="1" min="163" max="163"/>
    <col width="4.3" customWidth="1" min="164" max="164"/>
    <col width="4.3" customWidth="1" min="165" max="165"/>
    <col width="4.3" customWidth="1" min="166" max="166"/>
    <col width="4.3" customWidth="1" min="167" max="167"/>
    <col width="4.3" customWidth="1" min="168" max="168"/>
    <col width="4.3" customWidth="1" min="169" max="169"/>
    <col width="4.3" customWidth="1" min="170" max="170"/>
    <col width="7" customWidth="1" min="171" max="171"/>
    <col width="7" customWidth="1" min="172" max="172"/>
    <col width="7" customWidth="1" min="173" max="173"/>
  </cols>
  <sheetData>
    <row r="1" ht="48" customHeight="1">
      <c r="A1" s="677" t="inlineStr">
        <is>
          <t>🏠</t>
        </is>
      </c>
      <c r="B1" s="678" t="n"/>
      <c r="C1" s="678" t="n"/>
      <c r="D1" s="678" t="n"/>
      <c r="E1" s="678" t="n"/>
      <c r="F1" s="678" t="n"/>
      <c r="G1" s="678" t="n"/>
      <c r="H1" s="678" t="n"/>
      <c r="I1" s="678" t="n"/>
      <c r="J1" s="678" t="n"/>
      <c r="K1" s="678" t="n"/>
      <c r="L1" s="678" t="n"/>
      <c r="M1" s="678" t="n"/>
      <c r="N1" s="678" t="n"/>
      <c r="O1" s="678" t="n"/>
      <c r="P1" s="678" t="n"/>
      <c r="Q1" s="678" t="n"/>
      <c r="R1" s="678" t="n"/>
      <c r="S1" s="678" t="n"/>
      <c r="T1" s="678" t="n"/>
      <c r="U1" s="678" t="n"/>
      <c r="V1" s="678" t="n"/>
      <c r="W1" s="678" t="n"/>
      <c r="X1" s="678" t="n"/>
      <c r="Y1" s="678" t="n"/>
      <c r="Z1" s="678" t="n"/>
      <c r="AA1" s="678" t="n"/>
      <c r="AB1" s="678" t="n"/>
      <c r="AC1" s="678" t="n"/>
      <c r="AD1" s="678" t="n"/>
      <c r="AE1" s="678" t="n"/>
      <c r="AF1" s="678" t="n"/>
      <c r="AG1" s="678" t="n"/>
      <c r="AH1" s="678" t="n"/>
      <c r="AI1" s="678" t="n"/>
      <c r="AJ1" s="678" t="n"/>
      <c r="AK1" s="678" t="n"/>
      <c r="AL1" s="678" t="n"/>
      <c r="AM1" s="678" t="n"/>
      <c r="AN1" s="678" t="n"/>
      <c r="AO1" s="678" t="n"/>
      <c r="AP1" s="678" t="n"/>
      <c r="AQ1" s="678" t="n"/>
      <c r="AR1" s="678" t="n"/>
      <c r="AS1" s="678" t="n"/>
      <c r="AT1" s="678" t="n"/>
      <c r="AU1" s="678" t="n"/>
      <c r="AV1" s="678" t="n"/>
      <c r="AW1" s="678" t="n"/>
      <c r="AX1" s="678" t="n"/>
      <c r="AY1" s="678" t="n"/>
      <c r="AZ1" s="678" t="n"/>
      <c r="BA1" s="678" t="n"/>
      <c r="BB1" s="678" t="n"/>
      <c r="BC1" s="678" t="n"/>
      <c r="BD1" s="678" t="n"/>
      <c r="BE1" s="678" t="n"/>
      <c r="BF1" s="678" t="n"/>
      <c r="BG1" s="678" t="n"/>
      <c r="BH1" s="678" t="n"/>
      <c r="BI1" s="678" t="n"/>
      <c r="BJ1" s="678" t="n"/>
      <c r="BK1" s="678" t="n"/>
      <c r="BL1" s="678" t="n"/>
      <c r="BM1" s="678" t="n"/>
      <c r="BN1" s="678" t="n"/>
      <c r="BO1" s="678" t="n"/>
      <c r="BP1" s="678" t="n"/>
      <c r="BQ1" s="678" t="n"/>
      <c r="BR1" s="678" t="n"/>
      <c r="BS1" s="678" t="n"/>
      <c r="BT1" s="678" t="n"/>
      <c r="BU1" s="678" t="n"/>
      <c r="BV1" s="678" t="n"/>
      <c r="BW1" s="678" t="n"/>
      <c r="BX1" s="678" t="n"/>
      <c r="BY1" s="678" t="n"/>
      <c r="BZ1" s="678" t="n"/>
      <c r="CA1" s="678" t="n"/>
      <c r="CB1" s="678" t="n"/>
      <c r="CC1" s="678" t="n"/>
      <c r="CD1" s="678" t="n"/>
      <c r="CE1" s="678" t="n"/>
      <c r="CF1" s="678" t="n"/>
      <c r="CG1" s="678" t="n"/>
      <c r="CH1" s="678" t="n"/>
      <c r="CI1" s="678" t="n"/>
      <c r="CJ1" s="678" t="n"/>
      <c r="CK1" s="678" t="n"/>
      <c r="CL1" s="678" t="n"/>
      <c r="CM1" s="678" t="n"/>
      <c r="CN1" s="678" t="n"/>
      <c r="CO1" s="678" t="n"/>
      <c r="CP1" s="678" t="n"/>
      <c r="CQ1" s="678" t="n"/>
      <c r="CR1" s="678" t="n"/>
      <c r="CS1" s="678" t="n"/>
      <c r="CT1" s="678" t="n"/>
      <c r="CU1" s="678" t="n"/>
      <c r="CV1" s="678" t="n"/>
      <c r="CW1" s="678" t="n"/>
      <c r="CX1" s="678" t="n"/>
      <c r="CY1" s="678" t="n"/>
      <c r="CZ1" s="678" t="n"/>
      <c r="DA1" s="678" t="n"/>
      <c r="DB1" s="678" t="n"/>
      <c r="DC1" s="678" t="n"/>
      <c r="DD1" s="678" t="n"/>
      <c r="DE1" s="678" t="n"/>
      <c r="DF1" s="678" t="n"/>
      <c r="DG1" s="678" t="n"/>
      <c r="DH1" s="678" t="n"/>
      <c r="DI1" s="678" t="n"/>
      <c r="DJ1" s="678" t="n"/>
      <c r="DK1" s="678" t="n"/>
      <c r="DL1" s="678" t="n"/>
      <c r="DM1" s="678" t="n"/>
      <c r="DN1" s="678" t="n"/>
      <c r="DO1" s="678" t="n"/>
      <c r="DP1" s="678" t="n"/>
      <c r="DQ1" s="678" t="n"/>
      <c r="DR1" s="678" t="n"/>
      <c r="DS1" s="678" t="n"/>
      <c r="DT1" s="678" t="n"/>
      <c r="DU1" s="678" t="n"/>
      <c r="DV1" s="678" t="n"/>
      <c r="DW1" s="678" t="n"/>
      <c r="DX1" s="678" t="n"/>
      <c r="DY1" s="678" t="n"/>
      <c r="DZ1" s="678" t="n"/>
      <c r="EA1" s="678" t="n"/>
      <c r="EB1" s="678" t="n"/>
      <c r="EC1" s="678" t="n"/>
      <c r="ED1" s="678" t="n"/>
      <c r="EE1" s="678" t="n"/>
      <c r="EF1" s="678" t="n"/>
      <c r="EG1" s="678" t="n"/>
      <c r="EH1" s="678" t="n"/>
      <c r="EI1" s="678" t="n"/>
      <c r="EJ1" s="678" t="n"/>
      <c r="EK1" s="678" t="n"/>
      <c r="EL1" s="678" t="n"/>
      <c r="EM1" s="678" t="n"/>
      <c r="EN1" s="678" t="n"/>
      <c r="EO1" s="678" t="n"/>
      <c r="EP1" s="678" t="n"/>
      <c r="EQ1" s="678" t="n"/>
      <c r="ER1" s="678" t="n"/>
      <c r="ES1" s="678" t="n"/>
      <c r="ET1" s="678" t="n"/>
      <c r="EU1" s="678" t="n"/>
      <c r="EV1" s="678" t="n"/>
      <c r="EW1" s="678" t="n"/>
      <c r="EX1" s="678" t="n"/>
      <c r="EY1" s="678" t="n"/>
      <c r="EZ1" s="678" t="n"/>
      <c r="FA1" s="678" t="n"/>
      <c r="FB1" s="678" t="n"/>
      <c r="FC1" s="678" t="n"/>
      <c r="FD1" s="678" t="n"/>
      <c r="FE1" s="678" t="n"/>
      <c r="FF1" s="678" t="n"/>
      <c r="FG1" s="678" t="n"/>
      <c r="FH1" s="678" t="n"/>
      <c r="FI1" s="678" t="n"/>
      <c r="FJ1" s="678" t="n"/>
      <c r="FK1" s="678" t="n"/>
      <c r="FL1" s="678" t="n"/>
      <c r="FM1" s="678" t="n"/>
      <c r="FN1" s="678" t="n"/>
      <c r="FO1" s="678" t="n"/>
      <c r="FP1" s="678" t="n"/>
      <c r="FQ1" s="678" t="n"/>
    </row>
    <row r="2" ht="20" customHeight="1">
      <c r="A2" s="679" t="inlineStr">
        <is>
          <t>หน้าหลัก</t>
        </is>
      </c>
      <c r="B2" s="68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81" t="n"/>
      <c r="D2" s="681" t="n"/>
      <c r="E2" s="681" t="n"/>
      <c r="F2" s="681" t="n"/>
      <c r="G2" s="681" t="n"/>
      <c r="H2" s="681" t="n"/>
      <c r="I2" s="681" t="n"/>
      <c r="J2" s="681" t="n"/>
      <c r="K2" s="681" t="n"/>
      <c r="L2" s="681" t="n"/>
      <c r="M2" s="681" t="n"/>
      <c r="N2" s="681" t="n"/>
      <c r="O2" s="681" t="n"/>
      <c r="P2" s="681" t="n"/>
      <c r="Q2" s="681" t="n"/>
      <c r="R2" s="681" t="n"/>
      <c r="S2" s="681" t="n"/>
      <c r="T2" s="681" t="n"/>
      <c r="U2" s="681" t="n"/>
      <c r="V2" s="681" t="n"/>
      <c r="W2" s="681" t="n"/>
      <c r="X2" s="681" t="n"/>
      <c r="Y2" s="681" t="n"/>
      <c r="Z2" s="681" t="n"/>
      <c r="AA2" s="681" t="n"/>
      <c r="AB2" s="681" t="n"/>
      <c r="AC2" s="681" t="n"/>
      <c r="AD2" s="681" t="n"/>
      <c r="AE2" s="681" t="n"/>
      <c r="AF2" s="681" t="n"/>
      <c r="AG2" s="681" t="n"/>
      <c r="AH2" s="681" t="n"/>
      <c r="AI2" s="681" t="n"/>
      <c r="AJ2" s="681" t="n"/>
      <c r="AK2" s="681" t="n"/>
      <c r="AL2" s="681" t="n"/>
      <c r="AM2" s="681" t="n"/>
      <c r="AN2" s="681" t="n"/>
      <c r="AO2" s="681" t="n"/>
      <c r="AP2" s="681" t="n"/>
      <c r="AQ2" s="681" t="n"/>
      <c r="AR2" s="681" t="n"/>
      <c r="AS2" s="681" t="n"/>
      <c r="AT2" s="681" t="n"/>
      <c r="AU2" s="681" t="n"/>
      <c r="AV2" s="681" t="n"/>
      <c r="AW2" s="681" t="n"/>
      <c r="AX2" s="681" t="n"/>
      <c r="AY2" s="681" t="n"/>
      <c r="AZ2" s="681" t="n"/>
      <c r="BA2" s="681" t="n"/>
      <c r="BB2" s="681" t="n"/>
      <c r="BC2" s="681" t="n"/>
      <c r="BD2" s="681" t="n"/>
      <c r="BE2" s="681" t="n"/>
      <c r="BF2" s="681" t="n"/>
      <c r="BG2" s="681" t="n"/>
      <c r="BH2" s="681" t="n"/>
      <c r="BI2" s="681" t="n"/>
      <c r="BJ2" s="681" t="n"/>
      <c r="BK2" s="681" t="n"/>
      <c r="BL2" s="681" t="n"/>
      <c r="BM2" s="681" t="n"/>
      <c r="BN2" s="681" t="n"/>
      <c r="BO2" s="681" t="n"/>
      <c r="BP2" s="681" t="n"/>
      <c r="BQ2" s="681" t="n"/>
      <c r="BR2" s="681" t="n"/>
      <c r="BS2" s="681" t="n"/>
      <c r="BT2" s="681" t="n"/>
      <c r="BU2" s="681" t="n"/>
      <c r="BV2" s="681" t="n"/>
      <c r="BW2" s="681" t="n"/>
      <c r="BX2" s="681" t="n"/>
      <c r="BY2" s="681" t="n"/>
      <c r="BZ2" s="681" t="n"/>
      <c r="CA2" s="681" t="n"/>
      <c r="CB2" s="681" t="n"/>
      <c r="CC2" s="681" t="n"/>
      <c r="CD2" s="681" t="n"/>
      <c r="CE2" s="681" t="n"/>
      <c r="CF2" s="681" t="n"/>
      <c r="CG2" s="681" t="n"/>
      <c r="CH2" s="681" t="n"/>
      <c r="CI2" s="681" t="n"/>
      <c r="CJ2" s="681" t="n"/>
      <c r="CK2" s="681" t="n"/>
      <c r="CL2" s="681" t="n"/>
      <c r="CM2" s="681" t="n"/>
      <c r="CN2" s="681" t="n"/>
      <c r="CO2" s="681" t="n"/>
      <c r="CP2" s="681" t="n"/>
      <c r="CQ2" s="681" t="n"/>
      <c r="CR2" s="681" t="n"/>
      <c r="CS2" s="681" t="n"/>
      <c r="CT2" s="681" t="n"/>
      <c r="CU2" s="681" t="n"/>
      <c r="CV2" s="681" t="n"/>
      <c r="CW2" s="681" t="n"/>
      <c r="CX2" s="681" t="n"/>
      <c r="CY2" s="681" t="n"/>
      <c r="CZ2" s="681" t="n"/>
      <c r="DA2" s="681" t="n"/>
      <c r="DB2" s="681" t="n"/>
      <c r="DC2" s="681" t="n"/>
      <c r="DD2" s="681" t="n"/>
      <c r="DE2" s="681" t="n"/>
      <c r="DF2" s="681" t="n"/>
      <c r="DG2" s="681" t="n"/>
      <c r="DH2" s="681" t="n"/>
      <c r="DI2" s="681" t="n"/>
      <c r="DJ2" s="681" t="n"/>
      <c r="DK2" s="681" t="n"/>
      <c r="DL2" s="681" t="n"/>
      <c r="DM2" s="681" t="n"/>
      <c r="DN2" s="681" t="n"/>
      <c r="DO2" s="681" t="n"/>
      <c r="DP2" s="681" t="n"/>
      <c r="DQ2" s="681" t="n"/>
      <c r="DR2" s="681" t="n"/>
      <c r="DS2" s="681" t="n"/>
      <c r="DT2" s="681" t="n"/>
      <c r="DU2" s="681" t="n"/>
      <c r="DV2" s="681" t="n"/>
      <c r="DW2" s="681" t="n"/>
      <c r="DX2" s="681" t="n"/>
      <c r="DY2" s="681" t="n"/>
      <c r="DZ2" s="681" t="n"/>
      <c r="EA2" s="681" t="n"/>
      <c r="EB2" s="681" t="n"/>
      <c r="EC2" s="681" t="n"/>
      <c r="ED2" s="681" t="n"/>
      <c r="EE2" s="681" t="n"/>
      <c r="EF2" s="681" t="n"/>
      <c r="EG2" s="681" t="n"/>
      <c r="EH2" s="681" t="n"/>
      <c r="EI2" s="681" t="n"/>
      <c r="EJ2" s="681" t="n"/>
      <c r="EK2" s="681" t="n"/>
      <c r="EL2" s="681" t="n"/>
      <c r="EM2" s="681" t="n"/>
      <c r="EN2" s="681" t="n"/>
      <c r="EO2" s="681" t="n"/>
      <c r="EP2" s="681" t="n"/>
      <c r="EQ2" s="681" t="n"/>
      <c r="ER2" s="681" t="n"/>
      <c r="ES2" s="681" t="n"/>
      <c r="ET2" s="681" t="n"/>
      <c r="EU2" s="681" t="n"/>
      <c r="EV2" s="681" t="n"/>
      <c r="EW2" s="681" t="n"/>
      <c r="EX2" s="681" t="n"/>
      <c r="EY2" s="681" t="n"/>
      <c r="EZ2" s="681" t="n"/>
      <c r="FA2" s="681" t="n"/>
      <c r="FB2" s="681" t="n"/>
      <c r="FC2" s="681" t="n"/>
      <c r="FD2" s="681" t="n"/>
      <c r="FE2" s="681" t="n"/>
      <c r="FF2" s="681" t="n"/>
      <c r="FG2" s="681" t="n"/>
      <c r="FH2" s="681" t="n"/>
      <c r="FI2" s="681" t="n"/>
      <c r="FJ2" s="681" t="n"/>
      <c r="FK2" s="681" t="n"/>
      <c r="FL2" s="681" t="n"/>
      <c r="FM2" s="681" t="n"/>
      <c r="FN2" s="681" t="n"/>
      <c r="FO2" s="681" t="n"/>
      <c r="FP2" s="681" t="n"/>
      <c r="FQ2" s="681" t="n"/>
    </row>
    <row r="3" ht="18" customHeight="1">
      <c r="B3" s="682" t="inlineStr">
        <is>
          <t>ใส่จำนวนเงินฝาก (บาท) ในวันที่นักเรียนฝาก   •   การถอนเงินบันทึกในหน้า “ถอนเงิน”   •   ยอดคงเหลือคำนวณให้อัตโนมัติ</t>
        </is>
      </c>
    </row>
    <row r="4" hidden="1">
      <c r="D4">
        <f>'ปฏิทิน'!D6</f>
        <v/>
      </c>
      <c r="E4">
        <f>'ปฏิทิน'!E6</f>
        <v/>
      </c>
      <c r="F4">
        <f>'ปฏิทิน'!F6</f>
        <v/>
      </c>
      <c r="G4">
        <f>'ปฏิทิน'!G6</f>
        <v/>
      </c>
      <c r="H4">
        <f>'ปฏิทิน'!H6</f>
        <v/>
      </c>
      <c r="I4">
        <f>'ปฏิทิน'!I6</f>
        <v/>
      </c>
      <c r="J4">
        <f>'ปฏิทิน'!J6</f>
        <v/>
      </c>
      <c r="K4">
        <f>'ปฏิทิน'!K6</f>
        <v/>
      </c>
      <c r="L4">
        <f>'ปฏิทิน'!L6</f>
        <v/>
      </c>
      <c r="M4">
        <f>'ปฏิทิน'!M6</f>
        <v/>
      </c>
      <c r="N4">
        <f>'ปฏิทิน'!N6</f>
        <v/>
      </c>
      <c r="O4">
        <f>'ปฏิทิน'!O6</f>
        <v/>
      </c>
      <c r="P4">
        <f>'ปฏิทิน'!P6</f>
        <v/>
      </c>
      <c r="Q4">
        <f>'ปฏิทิน'!Q6</f>
        <v/>
      </c>
      <c r="R4">
        <f>'ปฏิทิน'!R6</f>
        <v/>
      </c>
      <c r="S4">
        <f>'ปฏิทิน'!S6</f>
        <v/>
      </c>
      <c r="T4">
        <f>'ปฏิทิน'!T6</f>
        <v/>
      </c>
      <c r="U4">
        <f>'ปฏิทิน'!U6</f>
        <v/>
      </c>
      <c r="V4">
        <f>'ปฏิทิน'!V6</f>
        <v/>
      </c>
      <c r="W4">
        <f>'ปฏิทิน'!W6</f>
        <v/>
      </c>
      <c r="X4">
        <f>'ปฏิทิน'!X6</f>
        <v/>
      </c>
      <c r="Y4">
        <f>'ปฏิทิน'!Y6</f>
        <v/>
      </c>
      <c r="Z4">
        <f>'ปฏิทิน'!Z6</f>
        <v/>
      </c>
      <c r="AA4">
        <f>'ปฏิทิน'!AA6</f>
        <v/>
      </c>
      <c r="AB4">
        <f>'ปฏิทิน'!AB6</f>
        <v/>
      </c>
      <c r="AC4">
        <f>'ปฏิทิน'!AC6</f>
        <v/>
      </c>
      <c r="AD4">
        <f>'ปฏิทิน'!AD6</f>
        <v/>
      </c>
      <c r="AE4">
        <f>'ปฏิทิน'!AE6</f>
        <v/>
      </c>
      <c r="AF4">
        <f>'ปฏิทิน'!AF6</f>
        <v/>
      </c>
      <c r="AG4">
        <f>'ปฏิทิน'!AG6</f>
        <v/>
      </c>
      <c r="AH4">
        <f>'ปฏิทิน'!AH6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L4">
        <f>'ปฏิทิน'!AL6</f>
        <v/>
      </c>
      <c r="AM4">
        <f>'ปฏิทิน'!AM6</f>
        <v/>
      </c>
      <c r="AN4">
        <f>'ปฏิทิน'!AN6</f>
        <v/>
      </c>
      <c r="AO4">
        <f>'ปฏิทิน'!AO6</f>
        <v/>
      </c>
      <c r="AP4">
        <f>'ปฏิทิน'!AP6</f>
        <v/>
      </c>
      <c r="AQ4">
        <f>'ปฏิทิน'!AQ6</f>
        <v/>
      </c>
      <c r="AR4">
        <f>'ปฏิทิน'!AR6</f>
        <v/>
      </c>
      <c r="AS4">
        <f>'ปฏิทิน'!AS6</f>
        <v/>
      </c>
      <c r="AT4">
        <f>'ปฏิทิน'!AT6</f>
        <v/>
      </c>
      <c r="AU4">
        <f>'ปฏิทิน'!AU6</f>
        <v/>
      </c>
      <c r="AV4">
        <f>'ปฏิทิน'!AV6</f>
        <v/>
      </c>
      <c r="AW4">
        <f>'ปฏิทิน'!AW6</f>
        <v/>
      </c>
      <c r="AX4">
        <f>'ปฏิทิน'!AX6</f>
        <v/>
      </c>
      <c r="AY4">
        <f>'ปฏิทิน'!AY6</f>
        <v/>
      </c>
      <c r="AZ4">
        <f>'ปฏิทิน'!AZ6</f>
        <v/>
      </c>
      <c r="BA4">
        <f>'ปฏิทิน'!BA6</f>
        <v/>
      </c>
      <c r="BB4">
        <f>'ปฏิทิน'!BB6</f>
        <v/>
      </c>
      <c r="BC4">
        <f>'ปฏิทิน'!BC6</f>
        <v/>
      </c>
      <c r="BD4">
        <f>'ปฏิทิน'!BD6</f>
        <v/>
      </c>
      <c r="BE4">
        <f>'ปฏิทิน'!BE6</f>
        <v/>
      </c>
      <c r="BF4">
        <f>'ปฏิทิน'!BF6</f>
        <v/>
      </c>
      <c r="BG4">
        <f>'ปฏิทิน'!BG6</f>
        <v/>
      </c>
      <c r="BH4">
        <f>'ปฏิทิน'!BH6</f>
        <v/>
      </c>
      <c r="BI4">
        <f>'ปฏิทิน'!BI6</f>
        <v/>
      </c>
      <c r="BJ4">
        <f>'ปฏิทิน'!BJ6</f>
        <v/>
      </c>
      <c r="BK4">
        <f>'ปฏิทิน'!BK6</f>
        <v/>
      </c>
      <c r="BL4">
        <f>'ปฏิทิน'!BL6</f>
        <v/>
      </c>
      <c r="BM4">
        <f>'ปฏิทิน'!BM6</f>
        <v/>
      </c>
      <c r="BN4">
        <f>'ปฏิทิน'!BN6</f>
        <v/>
      </c>
      <c r="BO4">
        <f>'ปฏิทิน'!BO6</f>
        <v/>
      </c>
      <c r="BP4">
        <f>'ปฏิทิน'!BP6</f>
        <v/>
      </c>
      <c r="BQ4" t="inlineStr">
        <is>
          <t>s</t>
        </is>
      </c>
      <c r="BR4" t="inlineStr">
        <is>
          <t>s</t>
        </is>
      </c>
      <c r="BS4" t="inlineStr">
        <is>
          <t>s</t>
        </is>
      </c>
      <c r="BT4">
        <f>'ปฏิทิน'!BT6</f>
        <v/>
      </c>
      <c r="BU4">
        <f>'ปฏิทิน'!BU6</f>
        <v/>
      </c>
      <c r="BV4">
        <f>'ปฏิทิน'!BV6</f>
        <v/>
      </c>
      <c r="BW4">
        <f>'ปฏิทิน'!BW6</f>
        <v/>
      </c>
      <c r="BX4">
        <f>'ปฏิทิน'!BX6</f>
        <v/>
      </c>
      <c r="BY4">
        <f>'ปฏิทิน'!BY6</f>
        <v/>
      </c>
      <c r="BZ4">
        <f>'ปฏิทิน'!BZ6</f>
        <v/>
      </c>
      <c r="CA4">
        <f>'ปฏิทิน'!CA6</f>
        <v/>
      </c>
      <c r="CB4">
        <f>'ปฏิทิน'!CB6</f>
        <v/>
      </c>
      <c r="CC4">
        <f>'ปฏิทิน'!CC6</f>
        <v/>
      </c>
      <c r="CD4">
        <f>'ปฏิทิน'!CD6</f>
        <v/>
      </c>
      <c r="CE4">
        <f>'ปฏิทิน'!CE6</f>
        <v/>
      </c>
      <c r="CF4">
        <f>'ปฏิทิน'!CF6</f>
        <v/>
      </c>
      <c r="CG4">
        <f>'ปฏิทิน'!CG6</f>
        <v/>
      </c>
      <c r="CH4">
        <f>'ปฏิทิน'!CH6</f>
        <v/>
      </c>
      <c r="CI4">
        <f>'ปฏิทิน'!CI6</f>
        <v/>
      </c>
      <c r="CJ4">
        <f>'ปฏิทิน'!CJ6</f>
        <v/>
      </c>
      <c r="CK4">
        <f>'ปฏิทิน'!CK6</f>
        <v/>
      </c>
      <c r="CL4">
        <f>'ปฏิทิน'!CL6</f>
        <v/>
      </c>
      <c r="CM4">
        <f>'ปฏิทิน'!CM6</f>
        <v/>
      </c>
      <c r="CN4">
        <f>'ปฏิทิน'!CN6</f>
        <v/>
      </c>
      <c r="CO4">
        <f>'ปฏิทิน'!CO6</f>
        <v/>
      </c>
      <c r="CP4">
        <f>'ปฏิทิน'!CP6</f>
        <v/>
      </c>
      <c r="CQ4">
        <f>'ปฏิทิน'!CQ6</f>
        <v/>
      </c>
      <c r="CR4">
        <f>'ปฏิทิน'!CR6</f>
        <v/>
      </c>
      <c r="CS4">
        <f>'ปฏิทิน'!CS6</f>
        <v/>
      </c>
      <c r="CT4">
        <f>'ปฏิทิน'!CT6</f>
        <v/>
      </c>
      <c r="CU4">
        <f>'ปฏิทิน'!CU6</f>
        <v/>
      </c>
      <c r="CV4">
        <f>'ปฏิทิน'!CV6</f>
        <v/>
      </c>
      <c r="CW4">
        <f>'ปฏิทิน'!CW6</f>
        <v/>
      </c>
      <c r="CX4">
        <f>'ปฏิทิน'!CX6</f>
        <v/>
      </c>
      <c r="CY4" t="inlineStr">
        <is>
          <t>s</t>
        </is>
      </c>
      <c r="CZ4" t="inlineStr">
        <is>
          <t>s</t>
        </is>
      </c>
      <c r="DA4" t="inlineStr">
        <is>
          <t>s</t>
        </is>
      </c>
      <c r="DB4">
        <f>'ปฏิทิน'!DB6</f>
        <v/>
      </c>
      <c r="DC4">
        <f>'ปฏิทิน'!DC6</f>
        <v/>
      </c>
      <c r="DD4">
        <f>'ปฏิทิน'!DD6</f>
        <v/>
      </c>
      <c r="DE4">
        <f>'ปฏิทิน'!DE6</f>
        <v/>
      </c>
      <c r="DF4">
        <f>'ปฏิทิน'!DF6</f>
        <v/>
      </c>
      <c r="DG4">
        <f>'ปฏิทิน'!DG6</f>
        <v/>
      </c>
      <c r="DH4">
        <f>'ปฏิทิน'!DH6</f>
        <v/>
      </c>
      <c r="DI4">
        <f>'ปฏิทิน'!DI6</f>
        <v/>
      </c>
      <c r="DJ4">
        <f>'ปฏิทิน'!DJ6</f>
        <v/>
      </c>
      <c r="DK4">
        <f>'ปฏิทิน'!DK6</f>
        <v/>
      </c>
      <c r="DL4">
        <f>'ปฏิทิน'!DL6</f>
        <v/>
      </c>
      <c r="DM4">
        <f>'ปฏิทิน'!DM6</f>
        <v/>
      </c>
      <c r="DN4">
        <f>'ปฏิทิน'!DN6</f>
        <v/>
      </c>
      <c r="DO4">
        <f>'ปฏิทิน'!DO6</f>
        <v/>
      </c>
      <c r="DP4">
        <f>'ปฏิทิน'!DP6</f>
        <v/>
      </c>
      <c r="DQ4">
        <f>'ปฏิทิน'!DQ6</f>
        <v/>
      </c>
      <c r="DR4">
        <f>'ปฏิทิน'!DR6</f>
        <v/>
      </c>
      <c r="DS4">
        <f>'ปฏิทิน'!DS6</f>
        <v/>
      </c>
      <c r="DT4">
        <f>'ปฏิทิน'!DT6</f>
        <v/>
      </c>
      <c r="DU4">
        <f>'ปฏิทิน'!DU6</f>
        <v/>
      </c>
      <c r="DV4">
        <f>'ปฏิทิน'!DV6</f>
        <v/>
      </c>
      <c r="DW4">
        <f>'ปฏิทิน'!DW6</f>
        <v/>
      </c>
      <c r="DX4">
        <f>'ปฏิทิน'!DX6</f>
        <v/>
      </c>
      <c r="DY4">
        <f>'ปฏิทิน'!DY6</f>
        <v/>
      </c>
      <c r="DZ4">
        <f>'ปฏิทิน'!DZ6</f>
        <v/>
      </c>
      <c r="EA4">
        <f>'ปฏิทิน'!EA6</f>
        <v/>
      </c>
      <c r="EB4">
        <f>'ปฏิทิน'!EB6</f>
        <v/>
      </c>
      <c r="EC4">
        <f>'ปฏิทิน'!EC6</f>
        <v/>
      </c>
      <c r="ED4">
        <f>'ปฏิทิน'!ED6</f>
        <v/>
      </c>
      <c r="EE4">
        <f>'ปฏิทิน'!EE6</f>
        <v/>
      </c>
      <c r="EF4">
        <f>'ปฏิทิน'!EF6</f>
        <v/>
      </c>
      <c r="EG4" t="inlineStr">
        <is>
          <t>s</t>
        </is>
      </c>
      <c r="EH4" t="inlineStr">
        <is>
          <t>s</t>
        </is>
      </c>
      <c r="EI4" t="inlineStr">
        <is>
          <t>s</t>
        </is>
      </c>
      <c r="EJ4">
        <f>'ปฏิทิน'!EJ6</f>
        <v/>
      </c>
      <c r="EK4">
        <f>'ปฏิทิน'!EK6</f>
        <v/>
      </c>
      <c r="EL4">
        <f>'ปฏิทิน'!EL6</f>
        <v/>
      </c>
      <c r="EM4">
        <f>'ปฏิทิน'!EM6</f>
        <v/>
      </c>
      <c r="EN4">
        <f>'ปฏิทิน'!EN6</f>
        <v/>
      </c>
      <c r="EO4">
        <f>'ปฏิทิน'!EO6</f>
        <v/>
      </c>
      <c r="EP4">
        <f>'ปฏิทิน'!EP6</f>
        <v/>
      </c>
      <c r="EQ4">
        <f>'ปฏิทิน'!EQ6</f>
        <v/>
      </c>
      <c r="ER4">
        <f>'ปฏิทิน'!ER6</f>
        <v/>
      </c>
      <c r="ES4">
        <f>'ปฏิทิน'!ES6</f>
        <v/>
      </c>
      <c r="ET4">
        <f>'ปฏิทิน'!ET6</f>
        <v/>
      </c>
      <c r="EU4">
        <f>'ปฏิทิน'!EU6</f>
        <v/>
      </c>
      <c r="EV4">
        <f>'ปฏิทิน'!EV6</f>
        <v/>
      </c>
      <c r="EW4">
        <f>'ปฏิทิน'!EW6</f>
        <v/>
      </c>
      <c r="EX4">
        <f>'ปฏิทิน'!EX6</f>
        <v/>
      </c>
      <c r="EY4">
        <f>'ปฏิทิน'!EY6</f>
        <v/>
      </c>
      <c r="EZ4">
        <f>'ปฏิทิน'!EZ6</f>
        <v/>
      </c>
      <c r="FA4">
        <f>'ปฏิทิน'!FA6</f>
        <v/>
      </c>
      <c r="FB4">
        <f>'ปฏิทิน'!FB6</f>
        <v/>
      </c>
      <c r="FC4">
        <f>'ปฏิทิน'!FC6</f>
        <v/>
      </c>
      <c r="FD4">
        <f>'ปฏิทิน'!FD6</f>
        <v/>
      </c>
      <c r="FE4">
        <f>'ปฏิทิน'!FE6</f>
        <v/>
      </c>
      <c r="FF4">
        <f>'ปฏิทิน'!FF6</f>
        <v/>
      </c>
      <c r="FG4">
        <f>'ปฏิทิน'!FG6</f>
        <v/>
      </c>
      <c r="FH4">
        <f>'ปฏิทิน'!FH6</f>
        <v/>
      </c>
      <c r="FI4">
        <f>'ปฏิทิน'!FI6</f>
        <v/>
      </c>
      <c r="FJ4">
        <f>'ปฏิทิน'!FJ6</f>
        <v/>
      </c>
      <c r="FK4">
        <f>'ปฏิทิน'!FK6</f>
        <v/>
      </c>
      <c r="FL4">
        <f>'ปฏิทิน'!FL6</f>
        <v/>
      </c>
      <c r="FM4">
        <f>'ปฏิทิน'!FM6</f>
        <v/>
      </c>
      <c r="FN4">
        <f>'ปฏิทิน'!FN6</f>
        <v/>
      </c>
      <c r="FO4" t="inlineStr">
        <is>
          <t>s</t>
        </is>
      </c>
      <c r="FP4" t="inlineStr">
        <is>
          <t>s</t>
        </is>
      </c>
      <c r="FQ4" t="inlineStr">
        <is>
          <t>s</t>
        </is>
      </c>
    </row>
    <row r="5" ht="22" customHeight="1">
      <c r="A5" s="683" t="inlineStr">
        <is>
          <t>เลขที่</t>
        </is>
      </c>
      <c r="B5" s="683" t="inlineStr">
        <is>
          <t>ชื่อ - สกุล</t>
        </is>
      </c>
      <c r="C5" s="684" t="inlineStr">
        <is>
          <t>ยอด
ยกมา
จากภาค 1</t>
        </is>
      </c>
      <c r="D5" s="685">
        <f>"เดือนพฤศจิกายน  พ.ศ. "&amp;('ข้อมูลโรงเรียน'!$C$12-543+543)</f>
        <v/>
      </c>
      <c r="AI5" s="686" t="inlineStr">
        <is>
          <t>สรุป พ.ย.</t>
        </is>
      </c>
      <c r="AL5" s="685">
        <f>"เดือนธันวาคม  พ.ศ. "&amp;('ข้อมูลโรงเรียน'!$C$12-543+543)</f>
        <v/>
      </c>
      <c r="BQ5" s="686" t="inlineStr">
        <is>
          <t>สรุป ธ.ค.</t>
        </is>
      </c>
      <c r="BT5" s="685">
        <f>"เดือนมกราคม  พ.ศ. "&amp;('ข้อมูลโรงเรียน'!$C$12-542+543)</f>
        <v/>
      </c>
      <c r="CY5" s="686" t="inlineStr">
        <is>
          <t>สรุป ม.ค.</t>
        </is>
      </c>
      <c r="DB5" s="685">
        <f>"เดือนกุมภาพันธ์  พ.ศ. "&amp;('ข้อมูลโรงเรียน'!$C$12-542+543)</f>
        <v/>
      </c>
      <c r="EG5" s="686" t="inlineStr">
        <is>
          <t>สรุป ก.พ.</t>
        </is>
      </c>
      <c r="EJ5" s="685">
        <f>"เดือนมีนาคม  พ.ศ. "&amp;('ข้อมูลโรงเรียน'!$C$12-542+543)</f>
        <v/>
      </c>
      <c r="FO5" s="686" t="inlineStr">
        <is>
          <t>สรุป มี.ค.</t>
        </is>
      </c>
    </row>
    <row r="6">
      <c r="D6" s="687">
        <f>IF('ปฏิทิน'!D5="","",DAY('ปฏิทิน'!D5))</f>
        <v/>
      </c>
      <c r="E6" s="684">
        <f>IF('ปฏิทิน'!E5="","",DAY('ปฏิทิน'!E5))</f>
        <v/>
      </c>
      <c r="F6" s="684">
        <f>IF('ปฏิทิน'!F5="","",DAY('ปฏิทิน'!F5))</f>
        <v/>
      </c>
      <c r="G6" s="684">
        <f>IF('ปฏิทิน'!G5="","",DAY('ปฏิทิน'!G5))</f>
        <v/>
      </c>
      <c r="H6" s="684">
        <f>IF('ปฏิทิน'!H5="","",DAY('ปฏิทิน'!H5))</f>
        <v/>
      </c>
      <c r="I6" s="684">
        <f>IF('ปฏิทิน'!I5="","",DAY('ปฏิทิน'!I5))</f>
        <v/>
      </c>
      <c r="J6" s="684">
        <f>IF('ปฏิทิน'!J5="","",DAY('ปฏิทิน'!J5))</f>
        <v/>
      </c>
      <c r="K6" s="684">
        <f>IF('ปฏิทิน'!K5="","",DAY('ปฏิทิน'!K5))</f>
        <v/>
      </c>
      <c r="L6" s="684">
        <f>IF('ปฏิทิน'!L5="","",DAY('ปฏิทิน'!L5))</f>
        <v/>
      </c>
      <c r="M6" s="684">
        <f>IF('ปฏิทิน'!M5="","",DAY('ปฏิทิน'!M5))</f>
        <v/>
      </c>
      <c r="N6" s="684">
        <f>IF('ปฏิทิน'!N5="","",DAY('ปฏิทิน'!N5))</f>
        <v/>
      </c>
      <c r="O6" s="684">
        <f>IF('ปฏิทิน'!O5="","",DAY('ปฏิทิน'!O5))</f>
        <v/>
      </c>
      <c r="P6" s="684">
        <f>IF('ปฏิทิน'!P5="","",DAY('ปฏิทิน'!P5))</f>
        <v/>
      </c>
      <c r="Q6" s="684">
        <f>IF('ปฏิทิน'!Q5="","",DAY('ปฏิทิน'!Q5))</f>
        <v/>
      </c>
      <c r="R6" s="684">
        <f>IF('ปฏิทิน'!R5="","",DAY('ปฏิทิน'!R5))</f>
        <v/>
      </c>
      <c r="S6" s="684">
        <f>IF('ปฏิทิน'!S5="","",DAY('ปฏิทิน'!S5))</f>
        <v/>
      </c>
      <c r="T6" s="684">
        <f>IF('ปฏิทิน'!T5="","",DAY('ปฏิทิน'!T5))</f>
        <v/>
      </c>
      <c r="U6" s="684">
        <f>IF('ปฏิทิน'!U5="","",DAY('ปฏิทิน'!U5))</f>
        <v/>
      </c>
      <c r="V6" s="684">
        <f>IF('ปฏิทิน'!V5="","",DAY('ปฏิทิน'!V5))</f>
        <v/>
      </c>
      <c r="W6" s="684">
        <f>IF('ปฏิทิน'!W5="","",DAY('ปฏิทิน'!W5))</f>
        <v/>
      </c>
      <c r="X6" s="684">
        <f>IF('ปฏิทิน'!X5="","",DAY('ปฏิทิน'!X5))</f>
        <v/>
      </c>
      <c r="Y6" s="684">
        <f>IF('ปฏิทิน'!Y5="","",DAY('ปฏิทิน'!Y5))</f>
        <v/>
      </c>
      <c r="Z6" s="684">
        <f>IF('ปฏิทิน'!Z5="","",DAY('ปฏิทิน'!Z5))</f>
        <v/>
      </c>
      <c r="AA6" s="684">
        <f>IF('ปฏิทิน'!AA5="","",DAY('ปฏิทิน'!AA5))</f>
        <v/>
      </c>
      <c r="AB6" s="684">
        <f>IF('ปฏิทิน'!AB5="","",DAY('ปฏิทิน'!AB5))</f>
        <v/>
      </c>
      <c r="AC6" s="684">
        <f>IF('ปฏิทิน'!AC5="","",DAY('ปฏิทิน'!AC5))</f>
        <v/>
      </c>
      <c r="AD6" s="684">
        <f>IF('ปฏิทิน'!AD5="","",DAY('ปฏิทิน'!AD5))</f>
        <v/>
      </c>
      <c r="AE6" s="684">
        <f>IF('ปฏิทิน'!AE5="","",DAY('ปฏิทิน'!AE5))</f>
        <v/>
      </c>
      <c r="AF6" s="684">
        <f>IF('ปฏิทิน'!AF5="","",DAY('ปฏิทิน'!AF5))</f>
        <v/>
      </c>
      <c r="AG6" s="684">
        <f>IF('ปฏิทิน'!AG5="","",DAY('ปฏิทิน'!AG5))</f>
        <v/>
      </c>
      <c r="AH6" s="684">
        <f>IF('ปฏิทิน'!AH5="","",DAY('ปฏิทิน'!AH5))</f>
        <v/>
      </c>
      <c r="AI6" s="688" t="inlineStr">
        <is>
          <t>ฝาก</t>
        </is>
      </c>
      <c r="AJ6" s="689" t="inlineStr">
        <is>
          <t>ถอน</t>
        </is>
      </c>
      <c r="AK6" s="690" t="inlineStr">
        <is>
          <t>คง
เหลือ</t>
        </is>
      </c>
      <c r="AL6" s="687">
        <f>IF('ปฏิทิน'!AL5="","",DAY('ปฏิทิน'!AL5))</f>
        <v/>
      </c>
      <c r="AM6" s="684">
        <f>IF('ปฏิทิน'!AM5="","",DAY('ปฏิทิน'!AM5))</f>
        <v/>
      </c>
      <c r="AN6" s="684">
        <f>IF('ปฏิทิน'!AN5="","",DAY('ปฏิทิน'!AN5))</f>
        <v/>
      </c>
      <c r="AO6" s="684">
        <f>IF('ปฏิทิน'!AO5="","",DAY('ปฏิทิน'!AO5))</f>
        <v/>
      </c>
      <c r="AP6" s="684">
        <f>IF('ปฏิทิน'!AP5="","",DAY('ปฏิทิน'!AP5))</f>
        <v/>
      </c>
      <c r="AQ6" s="684">
        <f>IF('ปฏิทิน'!AQ5="","",DAY('ปฏิทิน'!AQ5))</f>
        <v/>
      </c>
      <c r="AR6" s="684">
        <f>IF('ปฏิทิน'!AR5="","",DAY('ปฏิทิน'!AR5))</f>
        <v/>
      </c>
      <c r="AS6" s="684">
        <f>IF('ปฏิทิน'!AS5="","",DAY('ปฏิทิน'!AS5))</f>
        <v/>
      </c>
      <c r="AT6" s="684">
        <f>IF('ปฏิทิน'!AT5="","",DAY('ปฏิทิน'!AT5))</f>
        <v/>
      </c>
      <c r="AU6" s="684">
        <f>IF('ปฏิทิน'!AU5="","",DAY('ปฏิทิน'!AU5))</f>
        <v/>
      </c>
      <c r="AV6" s="684">
        <f>IF('ปฏิทิน'!AV5="","",DAY('ปฏิทิน'!AV5))</f>
        <v/>
      </c>
      <c r="AW6" s="684">
        <f>IF('ปฏิทิน'!AW5="","",DAY('ปฏิทิน'!AW5))</f>
        <v/>
      </c>
      <c r="AX6" s="684">
        <f>IF('ปฏิทิน'!AX5="","",DAY('ปฏิทิน'!AX5))</f>
        <v/>
      </c>
      <c r="AY6" s="684">
        <f>IF('ปฏิทิน'!AY5="","",DAY('ปฏิทิน'!AY5))</f>
        <v/>
      </c>
      <c r="AZ6" s="684">
        <f>IF('ปฏิทิน'!AZ5="","",DAY('ปฏิทิน'!AZ5))</f>
        <v/>
      </c>
      <c r="BA6" s="684">
        <f>IF('ปฏิทิน'!BA5="","",DAY('ปฏิทิน'!BA5))</f>
        <v/>
      </c>
      <c r="BB6" s="684">
        <f>IF('ปฏิทิน'!BB5="","",DAY('ปฏิทิน'!BB5))</f>
        <v/>
      </c>
      <c r="BC6" s="684">
        <f>IF('ปฏิทิน'!BC5="","",DAY('ปฏิทิน'!BC5))</f>
        <v/>
      </c>
      <c r="BD6" s="684">
        <f>IF('ปฏิทิน'!BD5="","",DAY('ปฏิทิน'!BD5))</f>
        <v/>
      </c>
      <c r="BE6" s="684">
        <f>IF('ปฏิทิน'!BE5="","",DAY('ปฏิทิน'!BE5))</f>
        <v/>
      </c>
      <c r="BF6" s="684">
        <f>IF('ปฏิทิน'!BF5="","",DAY('ปฏิทิน'!BF5))</f>
        <v/>
      </c>
      <c r="BG6" s="684">
        <f>IF('ปฏิทิน'!BG5="","",DAY('ปฏิทิน'!BG5))</f>
        <v/>
      </c>
      <c r="BH6" s="684">
        <f>IF('ปฏิทิน'!BH5="","",DAY('ปฏิทิน'!BH5))</f>
        <v/>
      </c>
      <c r="BI6" s="684">
        <f>IF('ปฏิทิน'!BI5="","",DAY('ปฏิทิน'!BI5))</f>
        <v/>
      </c>
      <c r="BJ6" s="684">
        <f>IF('ปฏิทิน'!BJ5="","",DAY('ปฏิทิน'!BJ5))</f>
        <v/>
      </c>
      <c r="BK6" s="684">
        <f>IF('ปฏิทิน'!BK5="","",DAY('ปฏิทิน'!BK5))</f>
        <v/>
      </c>
      <c r="BL6" s="684">
        <f>IF('ปฏิทิน'!BL5="","",DAY('ปฏิทิน'!BL5))</f>
        <v/>
      </c>
      <c r="BM6" s="684">
        <f>IF('ปฏิทิน'!BM5="","",DAY('ปฏิทิน'!BM5))</f>
        <v/>
      </c>
      <c r="BN6" s="684">
        <f>IF('ปฏิทิน'!BN5="","",DAY('ปฏิทิน'!BN5))</f>
        <v/>
      </c>
      <c r="BO6" s="684">
        <f>IF('ปฏิทิน'!BO5="","",DAY('ปฏิทิน'!BO5))</f>
        <v/>
      </c>
      <c r="BP6" s="684">
        <f>IF('ปฏิทิน'!BP5="","",DAY('ปฏิทิน'!BP5))</f>
        <v/>
      </c>
      <c r="BQ6" s="688" t="inlineStr">
        <is>
          <t>ฝาก</t>
        </is>
      </c>
      <c r="BR6" s="689" t="inlineStr">
        <is>
          <t>ถอน</t>
        </is>
      </c>
      <c r="BS6" s="690" t="inlineStr">
        <is>
          <t>คง
เหลือ</t>
        </is>
      </c>
      <c r="BT6" s="687">
        <f>IF('ปฏิทิน'!BT5="","",DAY('ปฏิทิน'!BT5))</f>
        <v/>
      </c>
      <c r="BU6" s="684">
        <f>IF('ปฏิทิน'!BU5="","",DAY('ปฏิทิน'!BU5))</f>
        <v/>
      </c>
      <c r="BV6" s="684">
        <f>IF('ปฏิทิน'!BV5="","",DAY('ปฏิทิน'!BV5))</f>
        <v/>
      </c>
      <c r="BW6" s="684">
        <f>IF('ปฏิทิน'!BW5="","",DAY('ปฏิทิน'!BW5))</f>
        <v/>
      </c>
      <c r="BX6" s="684">
        <f>IF('ปฏิทิน'!BX5="","",DAY('ปฏิทิน'!BX5))</f>
        <v/>
      </c>
      <c r="BY6" s="684">
        <f>IF('ปฏิทิน'!BY5="","",DAY('ปฏิทิน'!BY5))</f>
        <v/>
      </c>
      <c r="BZ6" s="684">
        <f>IF('ปฏิทิน'!BZ5="","",DAY('ปฏิทิน'!BZ5))</f>
        <v/>
      </c>
      <c r="CA6" s="684">
        <f>IF('ปฏิทิน'!CA5="","",DAY('ปฏิทิน'!CA5))</f>
        <v/>
      </c>
      <c r="CB6" s="684">
        <f>IF('ปฏิทิน'!CB5="","",DAY('ปฏิทิน'!CB5))</f>
        <v/>
      </c>
      <c r="CC6" s="684">
        <f>IF('ปฏิทิน'!CC5="","",DAY('ปฏิทิน'!CC5))</f>
        <v/>
      </c>
      <c r="CD6" s="684">
        <f>IF('ปฏิทิน'!CD5="","",DAY('ปฏิทิน'!CD5))</f>
        <v/>
      </c>
      <c r="CE6" s="684">
        <f>IF('ปฏิทิน'!CE5="","",DAY('ปฏิทิน'!CE5))</f>
        <v/>
      </c>
      <c r="CF6" s="684">
        <f>IF('ปฏิทิน'!CF5="","",DAY('ปฏิทิน'!CF5))</f>
        <v/>
      </c>
      <c r="CG6" s="684">
        <f>IF('ปฏิทิน'!CG5="","",DAY('ปฏิทิน'!CG5))</f>
        <v/>
      </c>
      <c r="CH6" s="684">
        <f>IF('ปฏิทิน'!CH5="","",DAY('ปฏิทิน'!CH5))</f>
        <v/>
      </c>
      <c r="CI6" s="684">
        <f>IF('ปฏิทิน'!CI5="","",DAY('ปฏิทิน'!CI5))</f>
        <v/>
      </c>
      <c r="CJ6" s="684">
        <f>IF('ปฏิทิน'!CJ5="","",DAY('ปฏิทิน'!CJ5))</f>
        <v/>
      </c>
      <c r="CK6" s="684">
        <f>IF('ปฏิทิน'!CK5="","",DAY('ปฏิทิน'!CK5))</f>
        <v/>
      </c>
      <c r="CL6" s="684">
        <f>IF('ปฏิทิน'!CL5="","",DAY('ปฏิทิน'!CL5))</f>
        <v/>
      </c>
      <c r="CM6" s="684">
        <f>IF('ปฏิทิน'!CM5="","",DAY('ปฏิทิน'!CM5))</f>
        <v/>
      </c>
      <c r="CN6" s="684">
        <f>IF('ปฏิทิน'!CN5="","",DAY('ปฏิทิน'!CN5))</f>
        <v/>
      </c>
      <c r="CO6" s="684">
        <f>IF('ปฏิทิน'!CO5="","",DAY('ปฏิทิน'!CO5))</f>
        <v/>
      </c>
      <c r="CP6" s="684">
        <f>IF('ปฏิทิน'!CP5="","",DAY('ปฏิทิน'!CP5))</f>
        <v/>
      </c>
      <c r="CQ6" s="684">
        <f>IF('ปฏิทิน'!CQ5="","",DAY('ปฏิทิน'!CQ5))</f>
        <v/>
      </c>
      <c r="CR6" s="684">
        <f>IF('ปฏิทิน'!CR5="","",DAY('ปฏิทิน'!CR5))</f>
        <v/>
      </c>
      <c r="CS6" s="684">
        <f>IF('ปฏิทิน'!CS5="","",DAY('ปฏิทิน'!CS5))</f>
        <v/>
      </c>
      <c r="CT6" s="684">
        <f>IF('ปฏิทิน'!CT5="","",DAY('ปฏิทิน'!CT5))</f>
        <v/>
      </c>
      <c r="CU6" s="684">
        <f>IF('ปฏิทิน'!CU5="","",DAY('ปฏิทิน'!CU5))</f>
        <v/>
      </c>
      <c r="CV6" s="684">
        <f>IF('ปฏิทิน'!CV5="","",DAY('ปฏิทิน'!CV5))</f>
        <v/>
      </c>
      <c r="CW6" s="684">
        <f>IF('ปฏิทิน'!CW5="","",DAY('ปฏิทิน'!CW5))</f>
        <v/>
      </c>
      <c r="CX6" s="684">
        <f>IF('ปฏิทิน'!CX5="","",DAY('ปฏิทิน'!CX5))</f>
        <v/>
      </c>
      <c r="CY6" s="688" t="inlineStr">
        <is>
          <t>ฝาก</t>
        </is>
      </c>
      <c r="CZ6" s="689" t="inlineStr">
        <is>
          <t>ถอน</t>
        </is>
      </c>
      <c r="DA6" s="690" t="inlineStr">
        <is>
          <t>คง
เหลือ</t>
        </is>
      </c>
      <c r="DB6" s="687">
        <f>IF('ปฏิทิน'!DB5="","",DAY('ปฏิทิน'!DB5))</f>
        <v/>
      </c>
      <c r="DC6" s="684">
        <f>IF('ปฏิทิน'!DC5="","",DAY('ปฏิทิน'!DC5))</f>
        <v/>
      </c>
      <c r="DD6" s="684">
        <f>IF('ปฏิทิน'!DD5="","",DAY('ปฏิทิน'!DD5))</f>
        <v/>
      </c>
      <c r="DE6" s="684">
        <f>IF('ปฏิทิน'!DE5="","",DAY('ปฏิทิน'!DE5))</f>
        <v/>
      </c>
      <c r="DF6" s="684">
        <f>IF('ปฏิทิน'!DF5="","",DAY('ปฏิทิน'!DF5))</f>
        <v/>
      </c>
      <c r="DG6" s="684">
        <f>IF('ปฏิทิน'!DG5="","",DAY('ปฏิทิน'!DG5))</f>
        <v/>
      </c>
      <c r="DH6" s="684">
        <f>IF('ปฏิทิน'!DH5="","",DAY('ปฏิทิน'!DH5))</f>
        <v/>
      </c>
      <c r="DI6" s="684">
        <f>IF('ปฏิทิน'!DI5="","",DAY('ปฏิทิน'!DI5))</f>
        <v/>
      </c>
      <c r="DJ6" s="684">
        <f>IF('ปฏิทิน'!DJ5="","",DAY('ปฏิทิน'!DJ5))</f>
        <v/>
      </c>
      <c r="DK6" s="684">
        <f>IF('ปฏิทิน'!DK5="","",DAY('ปฏิทิน'!DK5))</f>
        <v/>
      </c>
      <c r="DL6" s="684">
        <f>IF('ปฏิทิน'!DL5="","",DAY('ปฏิทิน'!DL5))</f>
        <v/>
      </c>
      <c r="DM6" s="684">
        <f>IF('ปฏิทิน'!DM5="","",DAY('ปฏิทิน'!DM5))</f>
        <v/>
      </c>
      <c r="DN6" s="684">
        <f>IF('ปฏิทิน'!DN5="","",DAY('ปฏิทิน'!DN5))</f>
        <v/>
      </c>
      <c r="DO6" s="684">
        <f>IF('ปฏิทิน'!DO5="","",DAY('ปฏิทิน'!DO5))</f>
        <v/>
      </c>
      <c r="DP6" s="684">
        <f>IF('ปฏิทิน'!DP5="","",DAY('ปฏิทิน'!DP5))</f>
        <v/>
      </c>
      <c r="DQ6" s="684">
        <f>IF('ปฏิทิน'!DQ5="","",DAY('ปฏิทิน'!DQ5))</f>
        <v/>
      </c>
      <c r="DR6" s="684">
        <f>IF('ปฏิทิน'!DR5="","",DAY('ปฏิทิน'!DR5))</f>
        <v/>
      </c>
      <c r="DS6" s="684">
        <f>IF('ปฏิทิน'!DS5="","",DAY('ปฏิทิน'!DS5))</f>
        <v/>
      </c>
      <c r="DT6" s="684">
        <f>IF('ปฏิทิน'!DT5="","",DAY('ปฏิทิน'!DT5))</f>
        <v/>
      </c>
      <c r="DU6" s="684">
        <f>IF('ปฏิทิน'!DU5="","",DAY('ปฏิทิน'!DU5))</f>
        <v/>
      </c>
      <c r="DV6" s="684">
        <f>IF('ปฏิทิน'!DV5="","",DAY('ปฏิทิน'!DV5))</f>
        <v/>
      </c>
      <c r="DW6" s="684">
        <f>IF('ปฏิทิน'!DW5="","",DAY('ปฏิทิน'!DW5))</f>
        <v/>
      </c>
      <c r="DX6" s="684">
        <f>IF('ปฏิทิน'!DX5="","",DAY('ปฏิทิน'!DX5))</f>
        <v/>
      </c>
      <c r="DY6" s="684">
        <f>IF('ปฏิทิน'!DY5="","",DAY('ปฏิทิน'!DY5))</f>
        <v/>
      </c>
      <c r="DZ6" s="684">
        <f>IF('ปฏิทิน'!DZ5="","",DAY('ปฏิทิน'!DZ5))</f>
        <v/>
      </c>
      <c r="EA6" s="684">
        <f>IF('ปฏิทิน'!EA5="","",DAY('ปฏิทิน'!EA5))</f>
        <v/>
      </c>
      <c r="EB6" s="684">
        <f>IF('ปฏิทิน'!EB5="","",DAY('ปฏิทิน'!EB5))</f>
        <v/>
      </c>
      <c r="EC6" s="684">
        <f>IF('ปฏิทิน'!EC5="","",DAY('ปฏิทิน'!EC5))</f>
        <v/>
      </c>
      <c r="ED6" s="684">
        <f>IF('ปฏิทิน'!ED5="","",DAY('ปฏิทิน'!ED5))</f>
        <v/>
      </c>
      <c r="EE6" s="684">
        <f>IF('ปฏิทิน'!EE5="","",DAY('ปฏิทิน'!EE5))</f>
        <v/>
      </c>
      <c r="EF6" s="684">
        <f>IF('ปฏิทิน'!EF5="","",DAY('ปฏิทิน'!EF5))</f>
        <v/>
      </c>
      <c r="EG6" s="688" t="inlineStr">
        <is>
          <t>ฝาก</t>
        </is>
      </c>
      <c r="EH6" s="689" t="inlineStr">
        <is>
          <t>ถอน</t>
        </is>
      </c>
      <c r="EI6" s="690" t="inlineStr">
        <is>
          <t>คง
เหลือ</t>
        </is>
      </c>
      <c r="EJ6" s="687">
        <f>IF('ปฏิทิน'!EJ5="","",DAY('ปฏิทิน'!EJ5))</f>
        <v/>
      </c>
      <c r="EK6" s="684">
        <f>IF('ปฏิทิน'!EK5="","",DAY('ปฏิทิน'!EK5))</f>
        <v/>
      </c>
      <c r="EL6" s="684">
        <f>IF('ปฏิทิน'!EL5="","",DAY('ปฏิทิน'!EL5))</f>
        <v/>
      </c>
      <c r="EM6" s="684">
        <f>IF('ปฏิทิน'!EM5="","",DAY('ปฏิทิน'!EM5))</f>
        <v/>
      </c>
      <c r="EN6" s="684">
        <f>IF('ปฏิทิน'!EN5="","",DAY('ปฏิทิน'!EN5))</f>
        <v/>
      </c>
      <c r="EO6" s="684">
        <f>IF('ปฏิทิน'!EO5="","",DAY('ปฏิทิน'!EO5))</f>
        <v/>
      </c>
      <c r="EP6" s="684">
        <f>IF('ปฏิทิน'!EP5="","",DAY('ปฏิทิน'!EP5))</f>
        <v/>
      </c>
      <c r="EQ6" s="684">
        <f>IF('ปฏิทิน'!EQ5="","",DAY('ปฏิทิน'!EQ5))</f>
        <v/>
      </c>
      <c r="ER6" s="684">
        <f>IF('ปฏิทิน'!ER5="","",DAY('ปฏิทิน'!ER5))</f>
        <v/>
      </c>
      <c r="ES6" s="684">
        <f>IF('ปฏิทิน'!ES5="","",DAY('ปฏิทิน'!ES5))</f>
        <v/>
      </c>
      <c r="ET6" s="684">
        <f>IF('ปฏิทิน'!ET5="","",DAY('ปฏิทิน'!ET5))</f>
        <v/>
      </c>
      <c r="EU6" s="684">
        <f>IF('ปฏิทิน'!EU5="","",DAY('ปฏิทิน'!EU5))</f>
        <v/>
      </c>
      <c r="EV6" s="684">
        <f>IF('ปฏิทิน'!EV5="","",DAY('ปฏิทิน'!EV5))</f>
        <v/>
      </c>
      <c r="EW6" s="684">
        <f>IF('ปฏิทิน'!EW5="","",DAY('ปฏิทิน'!EW5))</f>
        <v/>
      </c>
      <c r="EX6" s="684">
        <f>IF('ปฏิทิน'!EX5="","",DAY('ปฏิทิน'!EX5))</f>
        <v/>
      </c>
      <c r="EY6" s="684">
        <f>IF('ปฏิทิน'!EY5="","",DAY('ปฏิทิน'!EY5))</f>
        <v/>
      </c>
      <c r="EZ6" s="684">
        <f>IF('ปฏิทิน'!EZ5="","",DAY('ปฏิทิน'!EZ5))</f>
        <v/>
      </c>
      <c r="FA6" s="684">
        <f>IF('ปฏิทิน'!FA5="","",DAY('ปฏิทิน'!FA5))</f>
        <v/>
      </c>
      <c r="FB6" s="684">
        <f>IF('ปฏิทิน'!FB5="","",DAY('ปฏิทิน'!FB5))</f>
        <v/>
      </c>
      <c r="FC6" s="684">
        <f>IF('ปฏิทิน'!FC5="","",DAY('ปฏิทิน'!FC5))</f>
        <v/>
      </c>
      <c r="FD6" s="684">
        <f>IF('ปฏิทิน'!FD5="","",DAY('ปฏิทิน'!FD5))</f>
        <v/>
      </c>
      <c r="FE6" s="684">
        <f>IF('ปฏิทิน'!FE5="","",DAY('ปฏิทิน'!FE5))</f>
        <v/>
      </c>
      <c r="FF6" s="684">
        <f>IF('ปฏิทิน'!FF5="","",DAY('ปฏิทิน'!FF5))</f>
        <v/>
      </c>
      <c r="FG6" s="684">
        <f>IF('ปฏิทิน'!FG5="","",DAY('ปฏิทิน'!FG5))</f>
        <v/>
      </c>
      <c r="FH6" s="684">
        <f>IF('ปฏิทิน'!FH5="","",DAY('ปฏิทิน'!FH5))</f>
        <v/>
      </c>
      <c r="FI6" s="684">
        <f>IF('ปฏิทิน'!FI5="","",DAY('ปฏิทิน'!FI5))</f>
        <v/>
      </c>
      <c r="FJ6" s="684">
        <f>IF('ปฏิทิน'!FJ5="","",DAY('ปฏิทิน'!FJ5))</f>
        <v/>
      </c>
      <c r="FK6" s="684">
        <f>IF('ปฏิทิน'!FK5="","",DAY('ปฏิทิน'!FK5))</f>
        <v/>
      </c>
      <c r="FL6" s="684">
        <f>IF('ปฏิทิน'!FL5="","",DAY('ปฏิทิน'!FL5))</f>
        <v/>
      </c>
      <c r="FM6" s="684">
        <f>IF('ปฏิทิน'!FM5="","",DAY('ปฏิทิน'!FM5))</f>
        <v/>
      </c>
      <c r="FN6" s="684">
        <f>IF('ปฏิทิน'!FN5="","",DAY('ปฏิทิน'!FN5))</f>
        <v/>
      </c>
      <c r="FO6" s="688" t="inlineStr">
        <is>
          <t>ฝาก</t>
        </is>
      </c>
      <c r="FP6" s="689" t="inlineStr">
        <is>
          <t>ถอน</t>
        </is>
      </c>
      <c r="FQ6" s="690" t="inlineStr">
        <is>
          <t>คง
เหลือ</t>
        </is>
      </c>
    </row>
    <row r="7">
      <c r="D7" s="691">
        <f>IF('ปฏิทิน'!D5="","",CHOOSE(WEEKDAY('ปฏิทิน'!D5,2),"จ.","อ.","พ.","พฤ.","ศ.","ส.","อา."))</f>
        <v/>
      </c>
      <c r="E7" s="692">
        <f>IF('ปฏิทิน'!E5="","",CHOOSE(WEEKDAY('ปฏิทิน'!E5,2),"จ.","อ.","พ.","พฤ.","ศ.","ส.","อา."))</f>
        <v/>
      </c>
      <c r="F7" s="692">
        <f>IF('ปฏิทิน'!F5="","",CHOOSE(WEEKDAY('ปฏิทิน'!F5,2),"จ.","อ.","พ.","พฤ.","ศ.","ส.","อา."))</f>
        <v/>
      </c>
      <c r="G7" s="692">
        <f>IF('ปฏิทิน'!G5="","",CHOOSE(WEEKDAY('ปฏิทิน'!G5,2),"จ.","อ.","พ.","พฤ.","ศ.","ส.","อา."))</f>
        <v/>
      </c>
      <c r="H7" s="692">
        <f>IF('ปฏิทิน'!H5="","",CHOOSE(WEEKDAY('ปฏิทิน'!H5,2),"จ.","อ.","พ.","พฤ.","ศ.","ส.","อา."))</f>
        <v/>
      </c>
      <c r="I7" s="692">
        <f>IF('ปฏิทิน'!I5="","",CHOOSE(WEEKDAY('ปฏิทิน'!I5,2),"จ.","อ.","พ.","พฤ.","ศ.","ส.","อา."))</f>
        <v/>
      </c>
      <c r="J7" s="692">
        <f>IF('ปฏิทิน'!J5="","",CHOOSE(WEEKDAY('ปฏิทิน'!J5,2),"จ.","อ.","พ.","พฤ.","ศ.","ส.","อา."))</f>
        <v/>
      </c>
      <c r="K7" s="692">
        <f>IF('ปฏิทิน'!K5="","",CHOOSE(WEEKDAY('ปฏิทิน'!K5,2),"จ.","อ.","พ.","พฤ.","ศ.","ส.","อา."))</f>
        <v/>
      </c>
      <c r="L7" s="692">
        <f>IF('ปฏิทิน'!L5="","",CHOOSE(WEEKDAY('ปฏิทิน'!L5,2),"จ.","อ.","พ.","พฤ.","ศ.","ส.","อา."))</f>
        <v/>
      </c>
      <c r="M7" s="692">
        <f>IF('ปฏิทิน'!M5="","",CHOOSE(WEEKDAY('ปฏิทิน'!M5,2),"จ.","อ.","พ.","พฤ.","ศ.","ส.","อา."))</f>
        <v/>
      </c>
      <c r="N7" s="692">
        <f>IF('ปฏิทิน'!N5="","",CHOOSE(WEEKDAY('ปฏิทิน'!N5,2),"จ.","อ.","พ.","พฤ.","ศ.","ส.","อา."))</f>
        <v/>
      </c>
      <c r="O7" s="692">
        <f>IF('ปฏิทิน'!O5="","",CHOOSE(WEEKDAY('ปฏิทิน'!O5,2),"จ.","อ.","พ.","พฤ.","ศ.","ส.","อา."))</f>
        <v/>
      </c>
      <c r="P7" s="692">
        <f>IF('ปฏิทิน'!P5="","",CHOOSE(WEEKDAY('ปฏิทิน'!P5,2),"จ.","อ.","พ.","พฤ.","ศ.","ส.","อา."))</f>
        <v/>
      </c>
      <c r="Q7" s="692">
        <f>IF('ปฏิทิน'!Q5="","",CHOOSE(WEEKDAY('ปฏิทิน'!Q5,2),"จ.","อ.","พ.","พฤ.","ศ.","ส.","อา."))</f>
        <v/>
      </c>
      <c r="R7" s="692">
        <f>IF('ปฏิทิน'!R5="","",CHOOSE(WEEKDAY('ปฏิทิน'!R5,2),"จ.","อ.","พ.","พฤ.","ศ.","ส.","อา."))</f>
        <v/>
      </c>
      <c r="S7" s="692">
        <f>IF('ปฏิทิน'!S5="","",CHOOSE(WEEKDAY('ปฏิทิน'!S5,2),"จ.","อ.","พ.","พฤ.","ศ.","ส.","อา."))</f>
        <v/>
      </c>
      <c r="T7" s="692">
        <f>IF('ปฏิทิน'!T5="","",CHOOSE(WEEKDAY('ปฏิทิน'!T5,2),"จ.","อ.","พ.","พฤ.","ศ.","ส.","อา."))</f>
        <v/>
      </c>
      <c r="U7" s="692">
        <f>IF('ปฏิทิน'!U5="","",CHOOSE(WEEKDAY('ปฏิทิน'!U5,2),"จ.","อ.","พ.","พฤ.","ศ.","ส.","อา."))</f>
        <v/>
      </c>
      <c r="V7" s="692">
        <f>IF('ปฏิทิน'!V5="","",CHOOSE(WEEKDAY('ปฏิทิน'!V5,2),"จ.","อ.","พ.","พฤ.","ศ.","ส.","อา."))</f>
        <v/>
      </c>
      <c r="W7" s="692">
        <f>IF('ปฏิทิน'!W5="","",CHOOSE(WEEKDAY('ปฏิทิน'!W5,2),"จ.","อ.","พ.","พฤ.","ศ.","ส.","อา."))</f>
        <v/>
      </c>
      <c r="X7" s="692">
        <f>IF('ปฏิทิน'!X5="","",CHOOSE(WEEKDAY('ปฏิทิน'!X5,2),"จ.","อ.","พ.","พฤ.","ศ.","ส.","อา."))</f>
        <v/>
      </c>
      <c r="Y7" s="692">
        <f>IF('ปฏิทิน'!Y5="","",CHOOSE(WEEKDAY('ปฏิทิน'!Y5,2),"จ.","อ.","พ.","พฤ.","ศ.","ส.","อา."))</f>
        <v/>
      </c>
      <c r="Z7" s="692">
        <f>IF('ปฏิทิน'!Z5="","",CHOOSE(WEEKDAY('ปฏิทิน'!Z5,2),"จ.","อ.","พ.","พฤ.","ศ.","ส.","อา."))</f>
        <v/>
      </c>
      <c r="AA7" s="692">
        <f>IF('ปฏิทิน'!AA5="","",CHOOSE(WEEKDAY('ปฏิทิน'!AA5,2),"จ.","อ.","พ.","พฤ.","ศ.","ส.","อา."))</f>
        <v/>
      </c>
      <c r="AB7" s="692">
        <f>IF('ปฏิทิน'!AB5="","",CHOOSE(WEEKDAY('ปฏิทิน'!AB5,2),"จ.","อ.","พ.","พฤ.","ศ.","ส.","อา."))</f>
        <v/>
      </c>
      <c r="AC7" s="692">
        <f>IF('ปฏิทิน'!AC5="","",CHOOSE(WEEKDAY('ปฏิทิน'!AC5,2),"จ.","อ.","พ.","พฤ.","ศ.","ส.","อา."))</f>
        <v/>
      </c>
      <c r="AD7" s="692">
        <f>IF('ปฏิทิน'!AD5="","",CHOOSE(WEEKDAY('ปฏิทิน'!AD5,2),"จ.","อ.","พ.","พฤ.","ศ.","ส.","อา."))</f>
        <v/>
      </c>
      <c r="AE7" s="692">
        <f>IF('ปฏิทิน'!AE5="","",CHOOSE(WEEKDAY('ปฏิทิน'!AE5,2),"จ.","อ.","พ.","พฤ.","ศ.","ส.","อา."))</f>
        <v/>
      </c>
      <c r="AF7" s="692">
        <f>IF('ปฏิทิน'!AF5="","",CHOOSE(WEEKDAY('ปฏิทิน'!AF5,2),"จ.","อ.","พ.","พฤ.","ศ.","ส.","อา."))</f>
        <v/>
      </c>
      <c r="AG7" s="692">
        <f>IF('ปฏิทิน'!AG5="","",CHOOSE(WEEKDAY('ปฏิทิน'!AG5,2),"จ.","อ.","พ.","พฤ.","ศ.","ส.","อา."))</f>
        <v/>
      </c>
      <c r="AH7" s="692">
        <f>IF('ปฏิทิน'!AH5="","",CHOOSE(WEEKDAY('ปฏิทิน'!AH5,2),"จ.","อ.","พ.","พฤ.","ศ.","ส.","อา."))</f>
        <v/>
      </c>
      <c r="AI7" s="693" t="n"/>
      <c r="AL7" s="691">
        <f>IF('ปฏิทิน'!AL5="","",CHOOSE(WEEKDAY('ปฏิทิน'!AL5,2),"จ.","อ.","พ.","พฤ.","ศ.","ส.","อา."))</f>
        <v/>
      </c>
      <c r="AM7" s="692">
        <f>IF('ปฏิทิน'!AM5="","",CHOOSE(WEEKDAY('ปฏิทิน'!AM5,2),"จ.","อ.","พ.","พฤ.","ศ.","ส.","อา."))</f>
        <v/>
      </c>
      <c r="AN7" s="692">
        <f>IF('ปฏิทิน'!AN5="","",CHOOSE(WEEKDAY('ปฏิทิน'!AN5,2),"จ.","อ.","พ.","พฤ.","ศ.","ส.","อา."))</f>
        <v/>
      </c>
      <c r="AO7" s="692">
        <f>IF('ปฏิทิน'!AO5="","",CHOOSE(WEEKDAY('ปฏิทิน'!AO5,2),"จ.","อ.","พ.","พฤ.","ศ.","ส.","อา."))</f>
        <v/>
      </c>
      <c r="AP7" s="692">
        <f>IF('ปฏิทิน'!AP5="","",CHOOSE(WEEKDAY('ปฏิทิน'!AP5,2),"จ.","อ.","พ.","พฤ.","ศ.","ส.","อา."))</f>
        <v/>
      </c>
      <c r="AQ7" s="692">
        <f>IF('ปฏิทิน'!AQ5="","",CHOOSE(WEEKDAY('ปฏิทิน'!AQ5,2),"จ.","อ.","พ.","พฤ.","ศ.","ส.","อา."))</f>
        <v/>
      </c>
      <c r="AR7" s="692">
        <f>IF('ปฏิทิน'!AR5="","",CHOOSE(WEEKDAY('ปฏิทิน'!AR5,2),"จ.","อ.","พ.","พฤ.","ศ.","ส.","อา."))</f>
        <v/>
      </c>
      <c r="AS7" s="692">
        <f>IF('ปฏิทิน'!AS5="","",CHOOSE(WEEKDAY('ปฏิทิน'!AS5,2),"จ.","อ.","พ.","พฤ.","ศ.","ส.","อา."))</f>
        <v/>
      </c>
      <c r="AT7" s="692">
        <f>IF('ปฏิทิน'!AT5="","",CHOOSE(WEEKDAY('ปฏิทิน'!AT5,2),"จ.","อ.","พ.","พฤ.","ศ.","ส.","อา."))</f>
        <v/>
      </c>
      <c r="AU7" s="692">
        <f>IF('ปฏิทิน'!AU5="","",CHOOSE(WEEKDAY('ปฏิทิน'!AU5,2),"จ.","อ.","พ.","พฤ.","ศ.","ส.","อา."))</f>
        <v/>
      </c>
      <c r="AV7" s="692">
        <f>IF('ปฏิทิน'!AV5="","",CHOOSE(WEEKDAY('ปฏิทิน'!AV5,2),"จ.","อ.","พ.","พฤ.","ศ.","ส.","อา."))</f>
        <v/>
      </c>
      <c r="AW7" s="692">
        <f>IF('ปฏิทิน'!AW5="","",CHOOSE(WEEKDAY('ปฏิทิน'!AW5,2),"จ.","อ.","พ.","พฤ.","ศ.","ส.","อา."))</f>
        <v/>
      </c>
      <c r="AX7" s="692">
        <f>IF('ปฏิทิน'!AX5="","",CHOOSE(WEEKDAY('ปฏิทิน'!AX5,2),"จ.","อ.","พ.","พฤ.","ศ.","ส.","อา."))</f>
        <v/>
      </c>
      <c r="AY7" s="692">
        <f>IF('ปฏิทิน'!AY5="","",CHOOSE(WEEKDAY('ปฏิทิน'!AY5,2),"จ.","อ.","พ.","พฤ.","ศ.","ส.","อา."))</f>
        <v/>
      </c>
      <c r="AZ7" s="692">
        <f>IF('ปฏิทิน'!AZ5="","",CHOOSE(WEEKDAY('ปฏิทิน'!AZ5,2),"จ.","อ.","พ.","พฤ.","ศ.","ส.","อา."))</f>
        <v/>
      </c>
      <c r="BA7" s="692">
        <f>IF('ปฏิทิน'!BA5="","",CHOOSE(WEEKDAY('ปฏิทิน'!BA5,2),"จ.","อ.","พ.","พฤ.","ศ.","ส.","อา."))</f>
        <v/>
      </c>
      <c r="BB7" s="692">
        <f>IF('ปฏิทิน'!BB5="","",CHOOSE(WEEKDAY('ปฏิทิน'!BB5,2),"จ.","อ.","พ.","พฤ.","ศ.","ส.","อา."))</f>
        <v/>
      </c>
      <c r="BC7" s="692">
        <f>IF('ปฏิทิน'!BC5="","",CHOOSE(WEEKDAY('ปฏิทิน'!BC5,2),"จ.","อ.","พ.","พฤ.","ศ.","ส.","อา."))</f>
        <v/>
      </c>
      <c r="BD7" s="692">
        <f>IF('ปฏิทิน'!BD5="","",CHOOSE(WEEKDAY('ปฏิทิน'!BD5,2),"จ.","อ.","พ.","พฤ.","ศ.","ส.","อา."))</f>
        <v/>
      </c>
      <c r="BE7" s="692">
        <f>IF('ปฏิทิน'!BE5="","",CHOOSE(WEEKDAY('ปฏิทิน'!BE5,2),"จ.","อ.","พ.","พฤ.","ศ.","ส.","อา."))</f>
        <v/>
      </c>
      <c r="BF7" s="692">
        <f>IF('ปฏิทิน'!BF5="","",CHOOSE(WEEKDAY('ปฏิทิน'!BF5,2),"จ.","อ.","พ.","พฤ.","ศ.","ส.","อา."))</f>
        <v/>
      </c>
      <c r="BG7" s="692">
        <f>IF('ปฏิทิน'!BG5="","",CHOOSE(WEEKDAY('ปฏิทิน'!BG5,2),"จ.","อ.","พ.","พฤ.","ศ.","ส.","อา."))</f>
        <v/>
      </c>
      <c r="BH7" s="692">
        <f>IF('ปฏิทิน'!BH5="","",CHOOSE(WEEKDAY('ปฏิทิน'!BH5,2),"จ.","อ.","พ.","พฤ.","ศ.","ส.","อา."))</f>
        <v/>
      </c>
      <c r="BI7" s="692">
        <f>IF('ปฏิทิน'!BI5="","",CHOOSE(WEEKDAY('ปฏิทิน'!BI5,2),"จ.","อ.","พ.","พฤ.","ศ.","ส.","อา."))</f>
        <v/>
      </c>
      <c r="BJ7" s="692">
        <f>IF('ปฏิทิน'!BJ5="","",CHOOSE(WEEKDAY('ปฏิทิน'!BJ5,2),"จ.","อ.","พ.","พฤ.","ศ.","ส.","อา."))</f>
        <v/>
      </c>
      <c r="BK7" s="692">
        <f>IF('ปฏิทิน'!BK5="","",CHOOSE(WEEKDAY('ปฏิทิน'!BK5,2),"จ.","อ.","พ.","พฤ.","ศ.","ส.","อา."))</f>
        <v/>
      </c>
      <c r="BL7" s="692">
        <f>IF('ปฏิทิน'!BL5="","",CHOOSE(WEEKDAY('ปฏิทิน'!BL5,2),"จ.","อ.","พ.","พฤ.","ศ.","ส.","อา."))</f>
        <v/>
      </c>
      <c r="BM7" s="692">
        <f>IF('ปฏิทิน'!BM5="","",CHOOSE(WEEKDAY('ปฏิทิน'!BM5,2),"จ.","อ.","พ.","พฤ.","ศ.","ส.","อา."))</f>
        <v/>
      </c>
      <c r="BN7" s="692">
        <f>IF('ปฏิทิน'!BN5="","",CHOOSE(WEEKDAY('ปฏิทิน'!BN5,2),"จ.","อ.","พ.","พฤ.","ศ.","ส.","อา."))</f>
        <v/>
      </c>
      <c r="BO7" s="692">
        <f>IF('ปฏิทิน'!BO5="","",CHOOSE(WEEKDAY('ปฏิทิน'!BO5,2),"จ.","อ.","พ.","พฤ.","ศ.","ส.","อา."))</f>
        <v/>
      </c>
      <c r="BP7" s="692">
        <f>IF('ปฏิทิน'!BP5="","",CHOOSE(WEEKDAY('ปฏิทิน'!BP5,2),"จ.","อ.","พ.","พฤ.","ศ.","ส.","อา."))</f>
        <v/>
      </c>
      <c r="BQ7" s="693" t="n"/>
      <c r="BT7" s="691">
        <f>IF('ปฏิทิน'!BT5="","",CHOOSE(WEEKDAY('ปฏิทิน'!BT5,2),"จ.","อ.","พ.","พฤ.","ศ.","ส.","อา."))</f>
        <v/>
      </c>
      <c r="BU7" s="692">
        <f>IF('ปฏิทิน'!BU5="","",CHOOSE(WEEKDAY('ปฏิทิน'!BU5,2),"จ.","อ.","พ.","พฤ.","ศ.","ส.","อา."))</f>
        <v/>
      </c>
      <c r="BV7" s="692">
        <f>IF('ปฏิทิน'!BV5="","",CHOOSE(WEEKDAY('ปฏิทิน'!BV5,2),"จ.","อ.","พ.","พฤ.","ศ.","ส.","อา."))</f>
        <v/>
      </c>
      <c r="BW7" s="692">
        <f>IF('ปฏิทิน'!BW5="","",CHOOSE(WEEKDAY('ปฏิทิน'!BW5,2),"จ.","อ.","พ.","พฤ.","ศ.","ส.","อา."))</f>
        <v/>
      </c>
      <c r="BX7" s="692">
        <f>IF('ปฏิทิน'!BX5="","",CHOOSE(WEEKDAY('ปฏิทิน'!BX5,2),"จ.","อ.","พ.","พฤ.","ศ.","ส.","อา."))</f>
        <v/>
      </c>
      <c r="BY7" s="692">
        <f>IF('ปฏิทิน'!BY5="","",CHOOSE(WEEKDAY('ปฏิทิน'!BY5,2),"จ.","อ.","พ.","พฤ.","ศ.","ส.","อา."))</f>
        <v/>
      </c>
      <c r="BZ7" s="692">
        <f>IF('ปฏิทิน'!BZ5="","",CHOOSE(WEEKDAY('ปฏิทิน'!BZ5,2),"จ.","อ.","พ.","พฤ.","ศ.","ส.","อา."))</f>
        <v/>
      </c>
      <c r="CA7" s="692">
        <f>IF('ปฏิทิน'!CA5="","",CHOOSE(WEEKDAY('ปฏิทิน'!CA5,2),"จ.","อ.","พ.","พฤ.","ศ.","ส.","อา."))</f>
        <v/>
      </c>
      <c r="CB7" s="692">
        <f>IF('ปฏิทิน'!CB5="","",CHOOSE(WEEKDAY('ปฏิทิน'!CB5,2),"จ.","อ.","พ.","พฤ.","ศ.","ส.","อา."))</f>
        <v/>
      </c>
      <c r="CC7" s="692">
        <f>IF('ปฏิทิน'!CC5="","",CHOOSE(WEEKDAY('ปฏิทิน'!CC5,2),"จ.","อ.","พ.","พฤ.","ศ.","ส.","อา."))</f>
        <v/>
      </c>
      <c r="CD7" s="692">
        <f>IF('ปฏิทิน'!CD5="","",CHOOSE(WEEKDAY('ปฏิทิน'!CD5,2),"จ.","อ.","พ.","พฤ.","ศ.","ส.","อา."))</f>
        <v/>
      </c>
      <c r="CE7" s="692">
        <f>IF('ปฏิทิน'!CE5="","",CHOOSE(WEEKDAY('ปฏิทิน'!CE5,2),"จ.","อ.","พ.","พฤ.","ศ.","ส.","อา."))</f>
        <v/>
      </c>
      <c r="CF7" s="692">
        <f>IF('ปฏิทิน'!CF5="","",CHOOSE(WEEKDAY('ปฏิทิน'!CF5,2),"จ.","อ.","พ.","พฤ.","ศ.","ส.","อา."))</f>
        <v/>
      </c>
      <c r="CG7" s="692">
        <f>IF('ปฏิทิน'!CG5="","",CHOOSE(WEEKDAY('ปฏิทิน'!CG5,2),"จ.","อ.","พ.","พฤ.","ศ.","ส.","อา."))</f>
        <v/>
      </c>
      <c r="CH7" s="692">
        <f>IF('ปฏิทิน'!CH5="","",CHOOSE(WEEKDAY('ปฏิทิน'!CH5,2),"จ.","อ.","พ.","พฤ.","ศ.","ส.","อา."))</f>
        <v/>
      </c>
      <c r="CI7" s="692">
        <f>IF('ปฏิทิน'!CI5="","",CHOOSE(WEEKDAY('ปฏิทิน'!CI5,2),"จ.","อ.","พ.","พฤ.","ศ.","ส.","อา."))</f>
        <v/>
      </c>
      <c r="CJ7" s="692">
        <f>IF('ปฏิทิน'!CJ5="","",CHOOSE(WEEKDAY('ปฏิทิน'!CJ5,2),"จ.","อ.","พ.","พฤ.","ศ.","ส.","อา."))</f>
        <v/>
      </c>
      <c r="CK7" s="692">
        <f>IF('ปฏิทิน'!CK5="","",CHOOSE(WEEKDAY('ปฏิทิน'!CK5,2),"จ.","อ.","พ.","พฤ.","ศ.","ส.","อา."))</f>
        <v/>
      </c>
      <c r="CL7" s="692">
        <f>IF('ปฏิทิน'!CL5="","",CHOOSE(WEEKDAY('ปฏิทิน'!CL5,2),"จ.","อ.","พ.","พฤ.","ศ.","ส.","อา."))</f>
        <v/>
      </c>
      <c r="CM7" s="692">
        <f>IF('ปฏิทิน'!CM5="","",CHOOSE(WEEKDAY('ปฏิทิน'!CM5,2),"จ.","อ.","พ.","พฤ.","ศ.","ส.","อา."))</f>
        <v/>
      </c>
      <c r="CN7" s="692">
        <f>IF('ปฏิทิน'!CN5="","",CHOOSE(WEEKDAY('ปฏิทิน'!CN5,2),"จ.","อ.","พ.","พฤ.","ศ.","ส.","อา."))</f>
        <v/>
      </c>
      <c r="CO7" s="692">
        <f>IF('ปฏิทิน'!CO5="","",CHOOSE(WEEKDAY('ปฏิทิน'!CO5,2),"จ.","อ.","พ.","พฤ.","ศ.","ส.","อา."))</f>
        <v/>
      </c>
      <c r="CP7" s="692">
        <f>IF('ปฏิทิน'!CP5="","",CHOOSE(WEEKDAY('ปฏิทิน'!CP5,2),"จ.","อ.","พ.","พฤ.","ศ.","ส.","อา."))</f>
        <v/>
      </c>
      <c r="CQ7" s="692">
        <f>IF('ปฏิทิน'!CQ5="","",CHOOSE(WEEKDAY('ปฏิทิน'!CQ5,2),"จ.","อ.","พ.","พฤ.","ศ.","ส.","อา."))</f>
        <v/>
      </c>
      <c r="CR7" s="692">
        <f>IF('ปฏิทิน'!CR5="","",CHOOSE(WEEKDAY('ปฏิทิน'!CR5,2),"จ.","อ.","พ.","พฤ.","ศ.","ส.","อา."))</f>
        <v/>
      </c>
      <c r="CS7" s="692">
        <f>IF('ปฏิทิน'!CS5="","",CHOOSE(WEEKDAY('ปฏิทิน'!CS5,2),"จ.","อ.","พ.","พฤ.","ศ.","ส.","อา."))</f>
        <v/>
      </c>
      <c r="CT7" s="692">
        <f>IF('ปฏิทิน'!CT5="","",CHOOSE(WEEKDAY('ปฏิทิน'!CT5,2),"จ.","อ.","พ.","พฤ.","ศ.","ส.","อา."))</f>
        <v/>
      </c>
      <c r="CU7" s="692">
        <f>IF('ปฏิทิน'!CU5="","",CHOOSE(WEEKDAY('ปฏิทิน'!CU5,2),"จ.","อ.","พ.","พฤ.","ศ.","ส.","อา."))</f>
        <v/>
      </c>
      <c r="CV7" s="692">
        <f>IF('ปฏิทิน'!CV5="","",CHOOSE(WEEKDAY('ปฏิทิน'!CV5,2),"จ.","อ.","พ.","พฤ.","ศ.","ส.","อา."))</f>
        <v/>
      </c>
      <c r="CW7" s="692">
        <f>IF('ปฏิทิน'!CW5="","",CHOOSE(WEEKDAY('ปฏิทิน'!CW5,2),"จ.","อ.","พ.","พฤ.","ศ.","ส.","อา."))</f>
        <v/>
      </c>
      <c r="CX7" s="692">
        <f>IF('ปฏิทิน'!CX5="","",CHOOSE(WEEKDAY('ปฏิทิน'!CX5,2),"จ.","อ.","พ.","พฤ.","ศ.","ส.","อา."))</f>
        <v/>
      </c>
      <c r="CY7" s="693" t="n"/>
      <c r="DB7" s="691">
        <f>IF('ปฏิทิน'!DB5="","",CHOOSE(WEEKDAY('ปฏิทิน'!DB5,2),"จ.","อ.","พ.","พฤ.","ศ.","ส.","อา."))</f>
        <v/>
      </c>
      <c r="DC7" s="692">
        <f>IF('ปฏิทิน'!DC5="","",CHOOSE(WEEKDAY('ปฏิทิน'!DC5,2),"จ.","อ.","พ.","พฤ.","ศ.","ส.","อา."))</f>
        <v/>
      </c>
      <c r="DD7" s="692">
        <f>IF('ปฏิทิน'!DD5="","",CHOOSE(WEEKDAY('ปฏิทิน'!DD5,2),"จ.","อ.","พ.","พฤ.","ศ.","ส.","อา."))</f>
        <v/>
      </c>
      <c r="DE7" s="692">
        <f>IF('ปฏิทิน'!DE5="","",CHOOSE(WEEKDAY('ปฏิทิน'!DE5,2),"จ.","อ.","พ.","พฤ.","ศ.","ส.","อา."))</f>
        <v/>
      </c>
      <c r="DF7" s="692">
        <f>IF('ปฏิทิน'!DF5="","",CHOOSE(WEEKDAY('ปฏิทิน'!DF5,2),"จ.","อ.","พ.","พฤ.","ศ.","ส.","อา."))</f>
        <v/>
      </c>
      <c r="DG7" s="692">
        <f>IF('ปฏิทิน'!DG5="","",CHOOSE(WEEKDAY('ปฏิทิน'!DG5,2),"จ.","อ.","พ.","พฤ.","ศ.","ส.","อา."))</f>
        <v/>
      </c>
      <c r="DH7" s="692">
        <f>IF('ปฏิทิน'!DH5="","",CHOOSE(WEEKDAY('ปฏิทิน'!DH5,2),"จ.","อ.","พ.","พฤ.","ศ.","ส.","อา."))</f>
        <v/>
      </c>
      <c r="DI7" s="692">
        <f>IF('ปฏิทิน'!DI5="","",CHOOSE(WEEKDAY('ปฏิทิน'!DI5,2),"จ.","อ.","พ.","พฤ.","ศ.","ส.","อา."))</f>
        <v/>
      </c>
      <c r="DJ7" s="692">
        <f>IF('ปฏิทิน'!DJ5="","",CHOOSE(WEEKDAY('ปฏิทิน'!DJ5,2),"จ.","อ.","พ.","พฤ.","ศ.","ส.","อา."))</f>
        <v/>
      </c>
      <c r="DK7" s="692">
        <f>IF('ปฏิทิน'!DK5="","",CHOOSE(WEEKDAY('ปฏิทิน'!DK5,2),"จ.","อ.","พ.","พฤ.","ศ.","ส.","อา."))</f>
        <v/>
      </c>
      <c r="DL7" s="692">
        <f>IF('ปฏิทิน'!DL5="","",CHOOSE(WEEKDAY('ปฏิทิน'!DL5,2),"จ.","อ.","พ.","พฤ.","ศ.","ส.","อา."))</f>
        <v/>
      </c>
      <c r="DM7" s="692">
        <f>IF('ปฏิทิน'!DM5="","",CHOOSE(WEEKDAY('ปฏิทิน'!DM5,2),"จ.","อ.","พ.","พฤ.","ศ.","ส.","อา."))</f>
        <v/>
      </c>
      <c r="DN7" s="692">
        <f>IF('ปฏิทิน'!DN5="","",CHOOSE(WEEKDAY('ปฏิทิน'!DN5,2),"จ.","อ.","พ.","พฤ.","ศ.","ส.","อา."))</f>
        <v/>
      </c>
      <c r="DO7" s="692">
        <f>IF('ปฏิทิน'!DO5="","",CHOOSE(WEEKDAY('ปฏิทิน'!DO5,2),"จ.","อ.","พ.","พฤ.","ศ.","ส.","อา."))</f>
        <v/>
      </c>
      <c r="DP7" s="692">
        <f>IF('ปฏิทิน'!DP5="","",CHOOSE(WEEKDAY('ปฏิทิน'!DP5,2),"จ.","อ.","พ.","พฤ.","ศ.","ส.","อา."))</f>
        <v/>
      </c>
      <c r="DQ7" s="692">
        <f>IF('ปฏิทิน'!DQ5="","",CHOOSE(WEEKDAY('ปฏิทิน'!DQ5,2),"จ.","อ.","พ.","พฤ.","ศ.","ส.","อา."))</f>
        <v/>
      </c>
      <c r="DR7" s="692">
        <f>IF('ปฏิทิน'!DR5="","",CHOOSE(WEEKDAY('ปฏิทิน'!DR5,2),"จ.","อ.","พ.","พฤ.","ศ.","ส.","อา."))</f>
        <v/>
      </c>
      <c r="DS7" s="692">
        <f>IF('ปฏิทิน'!DS5="","",CHOOSE(WEEKDAY('ปฏิทิน'!DS5,2),"จ.","อ.","พ.","พฤ.","ศ.","ส.","อา."))</f>
        <v/>
      </c>
      <c r="DT7" s="692">
        <f>IF('ปฏิทิน'!DT5="","",CHOOSE(WEEKDAY('ปฏิทิน'!DT5,2),"จ.","อ.","พ.","พฤ.","ศ.","ส.","อา."))</f>
        <v/>
      </c>
      <c r="DU7" s="692">
        <f>IF('ปฏิทิน'!DU5="","",CHOOSE(WEEKDAY('ปฏิทิน'!DU5,2),"จ.","อ.","พ.","พฤ.","ศ.","ส.","อา."))</f>
        <v/>
      </c>
      <c r="DV7" s="692">
        <f>IF('ปฏิทิน'!DV5="","",CHOOSE(WEEKDAY('ปฏิทิน'!DV5,2),"จ.","อ.","พ.","พฤ.","ศ.","ส.","อา."))</f>
        <v/>
      </c>
      <c r="DW7" s="692">
        <f>IF('ปฏิทิน'!DW5="","",CHOOSE(WEEKDAY('ปฏิทิน'!DW5,2),"จ.","อ.","พ.","พฤ.","ศ.","ส.","อา."))</f>
        <v/>
      </c>
      <c r="DX7" s="692">
        <f>IF('ปฏิทิน'!DX5="","",CHOOSE(WEEKDAY('ปฏิทิน'!DX5,2),"จ.","อ.","พ.","พฤ.","ศ.","ส.","อา."))</f>
        <v/>
      </c>
      <c r="DY7" s="692">
        <f>IF('ปฏิทิน'!DY5="","",CHOOSE(WEEKDAY('ปฏิทิน'!DY5,2),"จ.","อ.","พ.","พฤ.","ศ.","ส.","อา."))</f>
        <v/>
      </c>
      <c r="DZ7" s="692">
        <f>IF('ปฏิทิน'!DZ5="","",CHOOSE(WEEKDAY('ปฏิทิน'!DZ5,2),"จ.","อ.","พ.","พฤ.","ศ.","ส.","อา."))</f>
        <v/>
      </c>
      <c r="EA7" s="692">
        <f>IF('ปฏิทิน'!EA5="","",CHOOSE(WEEKDAY('ปฏิทิน'!EA5,2),"จ.","อ.","พ.","พฤ.","ศ.","ส.","อา."))</f>
        <v/>
      </c>
      <c r="EB7" s="692">
        <f>IF('ปฏิทิน'!EB5="","",CHOOSE(WEEKDAY('ปฏิทิน'!EB5,2),"จ.","อ.","พ.","พฤ.","ศ.","ส.","อา."))</f>
        <v/>
      </c>
      <c r="EC7" s="692">
        <f>IF('ปฏิทิน'!EC5="","",CHOOSE(WEEKDAY('ปฏิทิน'!EC5,2),"จ.","อ.","พ.","พฤ.","ศ.","ส.","อา."))</f>
        <v/>
      </c>
      <c r="ED7" s="692">
        <f>IF('ปฏิทิน'!ED5="","",CHOOSE(WEEKDAY('ปฏิทิน'!ED5,2),"จ.","อ.","พ.","พฤ.","ศ.","ส.","อา."))</f>
        <v/>
      </c>
      <c r="EE7" s="692">
        <f>IF('ปฏิทิน'!EE5="","",CHOOSE(WEEKDAY('ปฏิทิน'!EE5,2),"จ.","อ.","พ.","พฤ.","ศ.","ส.","อา."))</f>
        <v/>
      </c>
      <c r="EF7" s="692">
        <f>IF('ปฏิทิน'!EF5="","",CHOOSE(WEEKDAY('ปฏิทิน'!EF5,2),"จ.","อ.","พ.","พฤ.","ศ.","ส.","อา."))</f>
        <v/>
      </c>
      <c r="EG7" s="693" t="n"/>
      <c r="EJ7" s="691">
        <f>IF('ปฏิทิน'!EJ5="","",CHOOSE(WEEKDAY('ปฏิทิน'!EJ5,2),"จ.","อ.","พ.","พฤ.","ศ.","ส.","อา."))</f>
        <v/>
      </c>
      <c r="EK7" s="692">
        <f>IF('ปฏิทิน'!EK5="","",CHOOSE(WEEKDAY('ปฏิทิน'!EK5,2),"จ.","อ.","พ.","พฤ.","ศ.","ส.","อา."))</f>
        <v/>
      </c>
      <c r="EL7" s="692">
        <f>IF('ปฏิทิน'!EL5="","",CHOOSE(WEEKDAY('ปฏิทิน'!EL5,2),"จ.","อ.","พ.","พฤ.","ศ.","ส.","อา."))</f>
        <v/>
      </c>
      <c r="EM7" s="692">
        <f>IF('ปฏิทิน'!EM5="","",CHOOSE(WEEKDAY('ปฏิทิน'!EM5,2),"จ.","อ.","พ.","พฤ.","ศ.","ส.","อา."))</f>
        <v/>
      </c>
      <c r="EN7" s="692">
        <f>IF('ปฏิทิน'!EN5="","",CHOOSE(WEEKDAY('ปฏิทิน'!EN5,2),"จ.","อ.","พ.","พฤ.","ศ.","ส.","อา."))</f>
        <v/>
      </c>
      <c r="EO7" s="692">
        <f>IF('ปฏิทิน'!EO5="","",CHOOSE(WEEKDAY('ปฏิทิน'!EO5,2),"จ.","อ.","พ.","พฤ.","ศ.","ส.","อา."))</f>
        <v/>
      </c>
      <c r="EP7" s="692">
        <f>IF('ปฏิทิน'!EP5="","",CHOOSE(WEEKDAY('ปฏิทิน'!EP5,2),"จ.","อ.","พ.","พฤ.","ศ.","ส.","อา."))</f>
        <v/>
      </c>
      <c r="EQ7" s="692">
        <f>IF('ปฏิทิน'!EQ5="","",CHOOSE(WEEKDAY('ปฏิทิน'!EQ5,2),"จ.","อ.","พ.","พฤ.","ศ.","ส.","อา."))</f>
        <v/>
      </c>
      <c r="ER7" s="692">
        <f>IF('ปฏิทิน'!ER5="","",CHOOSE(WEEKDAY('ปฏิทิน'!ER5,2),"จ.","อ.","พ.","พฤ.","ศ.","ส.","อา."))</f>
        <v/>
      </c>
      <c r="ES7" s="692">
        <f>IF('ปฏิทิน'!ES5="","",CHOOSE(WEEKDAY('ปฏิทิน'!ES5,2),"จ.","อ.","พ.","พฤ.","ศ.","ส.","อา."))</f>
        <v/>
      </c>
      <c r="ET7" s="692">
        <f>IF('ปฏิทิน'!ET5="","",CHOOSE(WEEKDAY('ปฏิทิน'!ET5,2),"จ.","อ.","พ.","พฤ.","ศ.","ส.","อา."))</f>
        <v/>
      </c>
      <c r="EU7" s="692">
        <f>IF('ปฏิทิน'!EU5="","",CHOOSE(WEEKDAY('ปฏิทิน'!EU5,2),"จ.","อ.","พ.","พฤ.","ศ.","ส.","อา."))</f>
        <v/>
      </c>
      <c r="EV7" s="692">
        <f>IF('ปฏิทิน'!EV5="","",CHOOSE(WEEKDAY('ปฏิทิน'!EV5,2),"จ.","อ.","พ.","พฤ.","ศ.","ส.","อา."))</f>
        <v/>
      </c>
      <c r="EW7" s="692">
        <f>IF('ปฏิทิน'!EW5="","",CHOOSE(WEEKDAY('ปฏิทิน'!EW5,2),"จ.","อ.","พ.","พฤ.","ศ.","ส.","อา."))</f>
        <v/>
      </c>
      <c r="EX7" s="692">
        <f>IF('ปฏิทิน'!EX5="","",CHOOSE(WEEKDAY('ปฏิทิน'!EX5,2),"จ.","อ.","พ.","พฤ.","ศ.","ส.","อา."))</f>
        <v/>
      </c>
      <c r="EY7" s="692">
        <f>IF('ปฏิทิน'!EY5="","",CHOOSE(WEEKDAY('ปฏิทิน'!EY5,2),"จ.","อ.","พ.","พฤ.","ศ.","ส.","อา."))</f>
        <v/>
      </c>
      <c r="EZ7" s="692">
        <f>IF('ปฏิทิน'!EZ5="","",CHOOSE(WEEKDAY('ปฏิทิน'!EZ5,2),"จ.","อ.","พ.","พฤ.","ศ.","ส.","อา."))</f>
        <v/>
      </c>
      <c r="FA7" s="692">
        <f>IF('ปฏิทิน'!FA5="","",CHOOSE(WEEKDAY('ปฏิทิน'!FA5,2),"จ.","อ.","พ.","พฤ.","ศ.","ส.","อา."))</f>
        <v/>
      </c>
      <c r="FB7" s="692">
        <f>IF('ปฏิทิน'!FB5="","",CHOOSE(WEEKDAY('ปฏิทิน'!FB5,2),"จ.","อ.","พ.","พฤ.","ศ.","ส.","อา."))</f>
        <v/>
      </c>
      <c r="FC7" s="692">
        <f>IF('ปฏิทิน'!FC5="","",CHOOSE(WEEKDAY('ปฏิทิน'!FC5,2),"จ.","อ.","พ.","พฤ.","ศ.","ส.","อา."))</f>
        <v/>
      </c>
      <c r="FD7" s="692">
        <f>IF('ปฏิทิน'!FD5="","",CHOOSE(WEEKDAY('ปฏิทิน'!FD5,2),"จ.","อ.","พ.","พฤ.","ศ.","ส.","อา."))</f>
        <v/>
      </c>
      <c r="FE7" s="692">
        <f>IF('ปฏิทิน'!FE5="","",CHOOSE(WEEKDAY('ปฏิทิน'!FE5,2),"จ.","อ.","พ.","พฤ.","ศ.","ส.","อา."))</f>
        <v/>
      </c>
      <c r="FF7" s="692">
        <f>IF('ปฏิทิน'!FF5="","",CHOOSE(WEEKDAY('ปฏิทิน'!FF5,2),"จ.","อ.","พ.","พฤ.","ศ.","ส.","อา."))</f>
        <v/>
      </c>
      <c r="FG7" s="692">
        <f>IF('ปฏิทิน'!FG5="","",CHOOSE(WEEKDAY('ปฏิทิน'!FG5,2),"จ.","อ.","พ.","พฤ.","ศ.","ส.","อา."))</f>
        <v/>
      </c>
      <c r="FH7" s="692">
        <f>IF('ปฏิทิน'!FH5="","",CHOOSE(WEEKDAY('ปฏิทิน'!FH5,2),"จ.","อ.","พ.","พฤ.","ศ.","ส.","อา."))</f>
        <v/>
      </c>
      <c r="FI7" s="692">
        <f>IF('ปฏิทิน'!FI5="","",CHOOSE(WEEKDAY('ปฏิทิน'!FI5,2),"จ.","อ.","พ.","พฤ.","ศ.","ส.","อา."))</f>
        <v/>
      </c>
      <c r="FJ7" s="692">
        <f>IF('ปฏิทิน'!FJ5="","",CHOOSE(WEEKDAY('ปฏิทิน'!FJ5,2),"จ.","อ.","พ.","พฤ.","ศ.","ส.","อา."))</f>
        <v/>
      </c>
      <c r="FK7" s="692">
        <f>IF('ปฏิทิน'!FK5="","",CHOOSE(WEEKDAY('ปฏิทิน'!FK5,2),"จ.","อ.","พ.","พฤ.","ศ.","ส.","อา."))</f>
        <v/>
      </c>
      <c r="FL7" s="692">
        <f>IF('ปฏิทิน'!FL5="","",CHOOSE(WEEKDAY('ปฏิทิน'!FL5,2),"จ.","อ.","พ.","พฤ.","ศ.","ส.","อา."))</f>
        <v/>
      </c>
      <c r="FM7" s="692">
        <f>IF('ปฏิทิน'!FM5="","",CHOOSE(WEEKDAY('ปฏิทิน'!FM5,2),"จ.","อ.","พ.","พฤ.","ศ.","ส.","อา."))</f>
        <v/>
      </c>
      <c r="FN7" s="692">
        <f>IF('ปฏิทิน'!FN5="","",CHOOSE(WEEKDAY('ปฏิทิน'!FN5,2),"จ.","อ.","พ.","พฤ.","ศ.","ส.","อา."))</f>
        <v/>
      </c>
      <c r="FO7" s="693" t="n"/>
    </row>
    <row r="8" ht="64" customHeight="1">
      <c r="D8" s="694">
        <f>'ปฏิทิน'!D7</f>
        <v/>
      </c>
      <c r="E8" s="265">
        <f>'ปฏิทิน'!E7</f>
        <v/>
      </c>
      <c r="F8" s="265">
        <f>'ปฏิทิน'!F7</f>
        <v/>
      </c>
      <c r="G8" s="265">
        <f>'ปฏิทิน'!G7</f>
        <v/>
      </c>
      <c r="H8" s="265">
        <f>'ปฏิทิน'!H7</f>
        <v/>
      </c>
      <c r="I8" s="265">
        <f>'ปฏิทิน'!I7</f>
        <v/>
      </c>
      <c r="J8" s="265">
        <f>'ปฏิทิน'!J7</f>
        <v/>
      </c>
      <c r="K8" s="265">
        <f>'ปฏิทิน'!K7</f>
        <v/>
      </c>
      <c r="L8" s="265">
        <f>'ปฏิทิน'!L7</f>
        <v/>
      </c>
      <c r="M8" s="265">
        <f>'ปฏิทิน'!M7</f>
        <v/>
      </c>
      <c r="N8" s="265">
        <f>'ปฏิทิน'!N7</f>
        <v/>
      </c>
      <c r="O8" s="265">
        <f>'ปฏิทิน'!O7</f>
        <v/>
      </c>
      <c r="P8" s="265">
        <f>'ปฏิทิน'!P7</f>
        <v/>
      </c>
      <c r="Q8" s="265">
        <f>'ปฏิทิน'!Q7</f>
        <v/>
      </c>
      <c r="R8" s="265">
        <f>'ปฏิทิน'!R7</f>
        <v/>
      </c>
      <c r="S8" s="265">
        <f>'ปฏิทิน'!S7</f>
        <v/>
      </c>
      <c r="T8" s="265">
        <f>'ปฏิทิน'!T7</f>
        <v/>
      </c>
      <c r="U8" s="265">
        <f>'ปฏิทิน'!U7</f>
        <v/>
      </c>
      <c r="V8" s="265">
        <f>'ปฏิทิน'!V7</f>
        <v/>
      </c>
      <c r="W8" s="265">
        <f>'ปฏิทิน'!W7</f>
        <v/>
      </c>
      <c r="X8" s="265">
        <f>'ปฏิทิน'!X7</f>
        <v/>
      </c>
      <c r="Y8" s="265">
        <f>'ปฏิทิน'!Y7</f>
        <v/>
      </c>
      <c r="Z8" s="265">
        <f>'ปฏิทิน'!Z7</f>
        <v/>
      </c>
      <c r="AA8" s="265">
        <f>'ปฏิทิน'!AA7</f>
        <v/>
      </c>
      <c r="AB8" s="265">
        <f>'ปฏิทิน'!AB7</f>
        <v/>
      </c>
      <c r="AC8" s="265">
        <f>'ปฏิทิน'!AC7</f>
        <v/>
      </c>
      <c r="AD8" s="265">
        <f>'ปฏิทิน'!AD7</f>
        <v/>
      </c>
      <c r="AE8" s="265">
        <f>'ปฏิทิน'!AE7</f>
        <v/>
      </c>
      <c r="AF8" s="265">
        <f>'ปฏิทิน'!AF7</f>
        <v/>
      </c>
      <c r="AG8" s="265">
        <f>'ปฏิทิน'!AG7</f>
        <v/>
      </c>
      <c r="AH8" s="265">
        <f>'ปฏิทิน'!AH7</f>
        <v/>
      </c>
      <c r="AI8" s="693" t="n"/>
      <c r="AL8" s="694">
        <f>'ปฏิทิน'!AL7</f>
        <v/>
      </c>
      <c r="AM8" s="265">
        <f>'ปฏิทิน'!AM7</f>
        <v/>
      </c>
      <c r="AN8" s="265">
        <f>'ปฏิทิน'!AN7</f>
        <v/>
      </c>
      <c r="AO8" s="265">
        <f>'ปฏิทิน'!AO7</f>
        <v/>
      </c>
      <c r="AP8" s="265">
        <f>'ปฏิทิน'!AP7</f>
        <v/>
      </c>
      <c r="AQ8" s="265">
        <f>'ปฏิทิน'!AQ7</f>
        <v/>
      </c>
      <c r="AR8" s="265">
        <f>'ปฏิทิน'!AR7</f>
        <v/>
      </c>
      <c r="AS8" s="265">
        <f>'ปฏิทิน'!AS7</f>
        <v/>
      </c>
      <c r="AT8" s="265">
        <f>'ปฏิทิน'!AT7</f>
        <v/>
      </c>
      <c r="AU8" s="265">
        <f>'ปฏิทิน'!AU7</f>
        <v/>
      </c>
      <c r="AV8" s="265">
        <f>'ปฏิทิน'!AV7</f>
        <v/>
      </c>
      <c r="AW8" s="265">
        <f>'ปฏิทิน'!AW7</f>
        <v/>
      </c>
      <c r="AX8" s="265">
        <f>'ปฏิทิน'!AX7</f>
        <v/>
      </c>
      <c r="AY8" s="265">
        <f>'ปฏิทิน'!AY7</f>
        <v/>
      </c>
      <c r="AZ8" s="265">
        <f>'ปฏิทิน'!AZ7</f>
        <v/>
      </c>
      <c r="BA8" s="265">
        <f>'ปฏิทิน'!BA7</f>
        <v/>
      </c>
      <c r="BB8" s="265">
        <f>'ปฏิทิน'!BB7</f>
        <v/>
      </c>
      <c r="BC8" s="265">
        <f>'ปฏิทิน'!BC7</f>
        <v/>
      </c>
      <c r="BD8" s="265">
        <f>'ปฏิทิน'!BD7</f>
        <v/>
      </c>
      <c r="BE8" s="265">
        <f>'ปฏิทิน'!BE7</f>
        <v/>
      </c>
      <c r="BF8" s="265">
        <f>'ปฏิทิน'!BF7</f>
        <v/>
      </c>
      <c r="BG8" s="265">
        <f>'ปฏิทิน'!BG7</f>
        <v/>
      </c>
      <c r="BH8" s="265">
        <f>'ปฏิทิน'!BH7</f>
        <v/>
      </c>
      <c r="BI8" s="265">
        <f>'ปฏิทิน'!BI7</f>
        <v/>
      </c>
      <c r="BJ8" s="265">
        <f>'ปฏิทิน'!BJ7</f>
        <v/>
      </c>
      <c r="BK8" s="265">
        <f>'ปฏิทิน'!BK7</f>
        <v/>
      </c>
      <c r="BL8" s="265">
        <f>'ปฏิทิน'!BL7</f>
        <v/>
      </c>
      <c r="BM8" s="265">
        <f>'ปฏิทิน'!BM7</f>
        <v/>
      </c>
      <c r="BN8" s="265">
        <f>'ปฏิทิน'!BN7</f>
        <v/>
      </c>
      <c r="BO8" s="265">
        <f>'ปฏิทิน'!BO7</f>
        <v/>
      </c>
      <c r="BP8" s="265">
        <f>'ปฏิทิน'!BP7</f>
        <v/>
      </c>
      <c r="BQ8" s="693" t="n"/>
      <c r="BT8" s="694">
        <f>'ปฏิทิน'!BT7</f>
        <v/>
      </c>
      <c r="BU8" s="265">
        <f>'ปฏิทิน'!BU7</f>
        <v/>
      </c>
      <c r="BV8" s="265">
        <f>'ปฏิทิน'!BV7</f>
        <v/>
      </c>
      <c r="BW8" s="265">
        <f>'ปฏิทิน'!BW7</f>
        <v/>
      </c>
      <c r="BX8" s="265">
        <f>'ปฏิทิน'!BX7</f>
        <v/>
      </c>
      <c r="BY8" s="265">
        <f>'ปฏิทิน'!BY7</f>
        <v/>
      </c>
      <c r="BZ8" s="265">
        <f>'ปฏิทิน'!BZ7</f>
        <v/>
      </c>
      <c r="CA8" s="265">
        <f>'ปฏิทิน'!CA7</f>
        <v/>
      </c>
      <c r="CB8" s="265">
        <f>'ปฏิทิน'!CB7</f>
        <v/>
      </c>
      <c r="CC8" s="265">
        <f>'ปฏิทิน'!CC7</f>
        <v/>
      </c>
      <c r="CD8" s="265">
        <f>'ปฏิทิน'!CD7</f>
        <v/>
      </c>
      <c r="CE8" s="265">
        <f>'ปฏิทิน'!CE7</f>
        <v/>
      </c>
      <c r="CF8" s="265">
        <f>'ปฏิทิน'!CF7</f>
        <v/>
      </c>
      <c r="CG8" s="265">
        <f>'ปฏิทิน'!CG7</f>
        <v/>
      </c>
      <c r="CH8" s="265">
        <f>'ปฏิทิน'!CH7</f>
        <v/>
      </c>
      <c r="CI8" s="265">
        <f>'ปฏิทิน'!CI7</f>
        <v/>
      </c>
      <c r="CJ8" s="265">
        <f>'ปฏิทิน'!CJ7</f>
        <v/>
      </c>
      <c r="CK8" s="265">
        <f>'ปฏิทิน'!CK7</f>
        <v/>
      </c>
      <c r="CL8" s="265">
        <f>'ปฏิทิน'!CL7</f>
        <v/>
      </c>
      <c r="CM8" s="265">
        <f>'ปฏิทิน'!CM7</f>
        <v/>
      </c>
      <c r="CN8" s="265">
        <f>'ปฏิทิน'!CN7</f>
        <v/>
      </c>
      <c r="CO8" s="265">
        <f>'ปฏิทิน'!CO7</f>
        <v/>
      </c>
      <c r="CP8" s="265">
        <f>'ปฏิทิน'!CP7</f>
        <v/>
      </c>
      <c r="CQ8" s="265">
        <f>'ปฏิทิน'!CQ7</f>
        <v/>
      </c>
      <c r="CR8" s="265">
        <f>'ปฏิทิน'!CR7</f>
        <v/>
      </c>
      <c r="CS8" s="265">
        <f>'ปฏิทิน'!CS7</f>
        <v/>
      </c>
      <c r="CT8" s="265">
        <f>'ปฏิทิน'!CT7</f>
        <v/>
      </c>
      <c r="CU8" s="265">
        <f>'ปฏิทิน'!CU7</f>
        <v/>
      </c>
      <c r="CV8" s="265">
        <f>'ปฏิทิน'!CV7</f>
        <v/>
      </c>
      <c r="CW8" s="265">
        <f>'ปฏิทิน'!CW7</f>
        <v/>
      </c>
      <c r="CX8" s="265">
        <f>'ปฏิทิน'!CX7</f>
        <v/>
      </c>
      <c r="CY8" s="693" t="n"/>
      <c r="DB8" s="694">
        <f>'ปฏิทิน'!DB7</f>
        <v/>
      </c>
      <c r="DC8" s="265">
        <f>'ปฏิทิน'!DC7</f>
        <v/>
      </c>
      <c r="DD8" s="265">
        <f>'ปฏิทิน'!DD7</f>
        <v/>
      </c>
      <c r="DE8" s="265">
        <f>'ปฏิทิน'!DE7</f>
        <v/>
      </c>
      <c r="DF8" s="265">
        <f>'ปฏิทิน'!DF7</f>
        <v/>
      </c>
      <c r="DG8" s="265">
        <f>'ปฏิทิน'!DG7</f>
        <v/>
      </c>
      <c r="DH8" s="265">
        <f>'ปฏิทิน'!DH7</f>
        <v/>
      </c>
      <c r="DI8" s="265">
        <f>'ปฏิทิน'!DI7</f>
        <v/>
      </c>
      <c r="DJ8" s="265">
        <f>'ปฏิทิน'!DJ7</f>
        <v/>
      </c>
      <c r="DK8" s="265">
        <f>'ปฏิทิน'!DK7</f>
        <v/>
      </c>
      <c r="DL8" s="265">
        <f>'ปฏิทิน'!DL7</f>
        <v/>
      </c>
      <c r="DM8" s="265">
        <f>'ปฏิทิน'!DM7</f>
        <v/>
      </c>
      <c r="DN8" s="265">
        <f>'ปฏิทิน'!DN7</f>
        <v/>
      </c>
      <c r="DO8" s="265">
        <f>'ปฏิทิน'!DO7</f>
        <v/>
      </c>
      <c r="DP8" s="265">
        <f>'ปฏิทิน'!DP7</f>
        <v/>
      </c>
      <c r="DQ8" s="265">
        <f>'ปฏิทิน'!DQ7</f>
        <v/>
      </c>
      <c r="DR8" s="265">
        <f>'ปฏิทิน'!DR7</f>
        <v/>
      </c>
      <c r="DS8" s="265">
        <f>'ปฏิทิน'!DS7</f>
        <v/>
      </c>
      <c r="DT8" s="265">
        <f>'ปฏิทิน'!DT7</f>
        <v/>
      </c>
      <c r="DU8" s="265">
        <f>'ปฏิทิน'!DU7</f>
        <v/>
      </c>
      <c r="DV8" s="265">
        <f>'ปฏิทิน'!DV7</f>
        <v/>
      </c>
      <c r="DW8" s="265">
        <f>'ปฏิทิน'!DW7</f>
        <v/>
      </c>
      <c r="DX8" s="265">
        <f>'ปฏิทิน'!DX7</f>
        <v/>
      </c>
      <c r="DY8" s="265">
        <f>'ปฏิทิน'!DY7</f>
        <v/>
      </c>
      <c r="DZ8" s="265">
        <f>'ปฏิทิน'!DZ7</f>
        <v/>
      </c>
      <c r="EA8" s="265">
        <f>'ปฏิทิน'!EA7</f>
        <v/>
      </c>
      <c r="EB8" s="265">
        <f>'ปฏิทิน'!EB7</f>
        <v/>
      </c>
      <c r="EC8" s="265">
        <f>'ปฏิทิน'!EC7</f>
        <v/>
      </c>
      <c r="ED8" s="265">
        <f>'ปฏิทิน'!ED7</f>
        <v/>
      </c>
      <c r="EE8" s="265">
        <f>'ปฏิทิน'!EE7</f>
        <v/>
      </c>
      <c r="EF8" s="265">
        <f>'ปฏิทิน'!EF7</f>
        <v/>
      </c>
      <c r="EG8" s="693" t="n"/>
      <c r="EJ8" s="694">
        <f>'ปฏิทิน'!EJ7</f>
        <v/>
      </c>
      <c r="EK8" s="265">
        <f>'ปฏิทิน'!EK7</f>
        <v/>
      </c>
      <c r="EL8" s="265">
        <f>'ปฏิทิน'!EL7</f>
        <v/>
      </c>
      <c r="EM8" s="265">
        <f>'ปฏิทิน'!EM7</f>
        <v/>
      </c>
      <c r="EN8" s="265">
        <f>'ปฏิทิน'!EN7</f>
        <v/>
      </c>
      <c r="EO8" s="265">
        <f>'ปฏิทิน'!EO7</f>
        <v/>
      </c>
      <c r="EP8" s="265">
        <f>'ปฏิทิน'!EP7</f>
        <v/>
      </c>
      <c r="EQ8" s="265">
        <f>'ปฏิทิน'!EQ7</f>
        <v/>
      </c>
      <c r="ER8" s="265">
        <f>'ปฏิทิน'!ER7</f>
        <v/>
      </c>
      <c r="ES8" s="265">
        <f>'ปฏิทิน'!ES7</f>
        <v/>
      </c>
      <c r="ET8" s="265">
        <f>'ปฏิทิน'!ET7</f>
        <v/>
      </c>
      <c r="EU8" s="265">
        <f>'ปฏิทิน'!EU7</f>
        <v/>
      </c>
      <c r="EV8" s="265">
        <f>'ปฏิทิน'!EV7</f>
        <v/>
      </c>
      <c r="EW8" s="265">
        <f>'ปฏิทิน'!EW7</f>
        <v/>
      </c>
      <c r="EX8" s="265">
        <f>'ปฏิทิน'!EX7</f>
        <v/>
      </c>
      <c r="EY8" s="265">
        <f>'ปฏิทิน'!EY7</f>
        <v/>
      </c>
      <c r="EZ8" s="265">
        <f>'ปฏิทิน'!EZ7</f>
        <v/>
      </c>
      <c r="FA8" s="265">
        <f>'ปฏิทิน'!FA7</f>
        <v/>
      </c>
      <c r="FB8" s="265">
        <f>'ปฏิทิน'!FB7</f>
        <v/>
      </c>
      <c r="FC8" s="265">
        <f>'ปฏิทิน'!FC7</f>
        <v/>
      </c>
      <c r="FD8" s="265">
        <f>'ปฏิทิน'!FD7</f>
        <v/>
      </c>
      <c r="FE8" s="265">
        <f>'ปฏิทิน'!FE7</f>
        <v/>
      </c>
      <c r="FF8" s="265">
        <f>'ปฏิทิน'!FF7</f>
        <v/>
      </c>
      <c r="FG8" s="265">
        <f>'ปฏิทิน'!FG7</f>
        <v/>
      </c>
      <c r="FH8" s="265">
        <f>'ปฏิทิน'!FH7</f>
        <v/>
      </c>
      <c r="FI8" s="265">
        <f>'ปฏิทิน'!FI7</f>
        <v/>
      </c>
      <c r="FJ8" s="265">
        <f>'ปฏิทิน'!FJ7</f>
        <v/>
      </c>
      <c r="FK8" s="265">
        <f>'ปฏิทิน'!FK7</f>
        <v/>
      </c>
      <c r="FL8" s="265">
        <f>'ปฏิทิน'!FL7</f>
        <v/>
      </c>
      <c r="FM8" s="265">
        <f>'ปฏิทิน'!FM7</f>
        <v/>
      </c>
      <c r="FN8" s="265">
        <f>'ปฏิทิน'!FN7</f>
        <v/>
      </c>
      <c r="FO8" s="693" t="n"/>
    </row>
    <row r="9">
      <c r="A9" s="218" t="n">
        <v>1</v>
      </c>
      <c r="B9" s="219">
        <f>'ข้อมูลนักเรียน'!T9</f>
        <v/>
      </c>
      <c r="C9" s="709">
        <f>IF(B9="","",N('ออมเงิน-ภ1'!GY9))</f>
        <v/>
      </c>
      <c r="D9" s="696" t="n"/>
      <c r="E9" s="697" t="n"/>
      <c r="F9" s="697" t="n"/>
      <c r="G9" s="697" t="n"/>
      <c r="H9" s="697" t="n"/>
      <c r="I9" s="697" t="n"/>
      <c r="J9" s="697" t="n"/>
      <c r="K9" s="697" t="n"/>
      <c r="L9" s="697" t="n"/>
      <c r="M9" s="697" t="n"/>
      <c r="N9" s="697" t="n"/>
      <c r="O9" s="697" t="n"/>
      <c r="P9" s="697" t="n"/>
      <c r="Q9" s="697" t="n"/>
      <c r="R9" s="697" t="n"/>
      <c r="S9" s="697" t="n"/>
      <c r="T9" s="697" t="n"/>
      <c r="U9" s="697" t="n"/>
      <c r="V9" s="697" t="n"/>
      <c r="W9" s="697" t="n"/>
      <c r="X9" s="697" t="n"/>
      <c r="Y9" s="697" t="n"/>
      <c r="Z9" s="697" t="n"/>
      <c r="AA9" s="697" t="n"/>
      <c r="AB9" s="697" t="n"/>
      <c r="AC9" s="697" t="n"/>
      <c r="AD9" s="697" t="n"/>
      <c r="AE9" s="697" t="n"/>
      <c r="AF9" s="697" t="n"/>
      <c r="AG9" s="697" t="n"/>
      <c r="AH9" s="697" t="n"/>
      <c r="AI9" s="698">
        <f>IF($B9="","",SUM(D9:AH9))</f>
        <v/>
      </c>
      <c r="AJ9" s="699">
        <f>IF($B9="","",SUMIFS('ถอนเงิน'!$E$7:$E$306,'ถอนเงิน'!$C$7:$C$306,$A9,'ถอนเงิน'!$B$7:$B$306,"พฤศจิกายน"))</f>
        <v/>
      </c>
      <c r="AK9" s="700">
        <f>IF($B9="","",N(C9)+N(AI9)-N(AJ9))</f>
        <v/>
      </c>
      <c r="AL9" s="696" t="n"/>
      <c r="AM9" s="697" t="n"/>
      <c r="AN9" s="697" t="n"/>
      <c r="AO9" s="697" t="n"/>
      <c r="AP9" s="697" t="n"/>
      <c r="AQ9" s="697" t="n"/>
      <c r="AR9" s="697" t="n"/>
      <c r="AS9" s="697" t="n"/>
      <c r="AT9" s="697" t="n"/>
      <c r="AU9" s="697" t="n"/>
      <c r="AV9" s="697" t="n"/>
      <c r="AW9" s="697" t="n"/>
      <c r="AX9" s="697" t="n"/>
      <c r="AY9" s="697" t="n"/>
      <c r="AZ9" s="697" t="n"/>
      <c r="BA9" s="697" t="n"/>
      <c r="BB9" s="697" t="n"/>
      <c r="BC9" s="697" t="n"/>
      <c r="BD9" s="697" t="n"/>
      <c r="BE9" s="697" t="n"/>
      <c r="BF9" s="697" t="n"/>
      <c r="BG9" s="697" t="n"/>
      <c r="BH9" s="697" t="n"/>
      <c r="BI9" s="697" t="n"/>
      <c r="BJ9" s="697" t="n"/>
      <c r="BK9" s="697" t="n"/>
      <c r="BL9" s="697" t="n"/>
      <c r="BM9" s="697" t="n"/>
      <c r="BN9" s="697" t="n"/>
      <c r="BO9" s="697" t="n"/>
      <c r="BP9" s="697" t="n"/>
      <c r="BQ9" s="698">
        <f>IF($B9="","",SUM(AL9:BP9))</f>
        <v/>
      </c>
      <c r="BR9" s="699">
        <f>IF($B9="","",SUMIFS('ถอนเงิน'!$E$7:$E$306,'ถอนเงิน'!$C$7:$C$306,$A9,'ถอนเงิน'!$B$7:$B$306,"ธันวาคม"))</f>
        <v/>
      </c>
      <c r="BS9" s="700">
        <f>IF($B9="","",N(AK9)+N(BQ9)-N(BR9))</f>
        <v/>
      </c>
      <c r="BT9" s="696" t="n"/>
      <c r="BU9" s="697" t="n"/>
      <c r="BV9" s="697" t="n"/>
      <c r="BW9" s="697" t="n"/>
      <c r="BX9" s="697" t="n"/>
      <c r="BY9" s="697" t="n"/>
      <c r="BZ9" s="697" t="n"/>
      <c r="CA9" s="697" t="n"/>
      <c r="CB9" s="697" t="n"/>
      <c r="CC9" s="697" t="n"/>
      <c r="CD9" s="697" t="n"/>
      <c r="CE9" s="697" t="n"/>
      <c r="CF9" s="697" t="n"/>
      <c r="CG9" s="697" t="n"/>
      <c r="CH9" s="697" t="n"/>
      <c r="CI9" s="697" t="n"/>
      <c r="CJ9" s="697" t="n"/>
      <c r="CK9" s="697" t="n"/>
      <c r="CL9" s="697" t="n"/>
      <c r="CM9" s="697" t="n"/>
      <c r="CN9" s="697" t="n"/>
      <c r="CO9" s="697" t="n"/>
      <c r="CP9" s="697" t="n"/>
      <c r="CQ9" s="697" t="n"/>
      <c r="CR9" s="697" t="n"/>
      <c r="CS9" s="697" t="n"/>
      <c r="CT9" s="697" t="n"/>
      <c r="CU9" s="697" t="n"/>
      <c r="CV9" s="697" t="n"/>
      <c r="CW9" s="697" t="n"/>
      <c r="CX9" s="697" t="n"/>
      <c r="CY9" s="698">
        <f>IF($B9="","",SUM(BT9:CX9))</f>
        <v/>
      </c>
      <c r="CZ9" s="699">
        <f>IF($B9="","",SUMIFS('ถอนเงิน'!$E$7:$E$306,'ถอนเงิน'!$C$7:$C$306,$A9,'ถอนเงิน'!$B$7:$B$306,"มกราคม"))</f>
        <v/>
      </c>
      <c r="DA9" s="700">
        <f>IF($B9="","",N(BS9)+N(CY9)-N(CZ9))</f>
        <v/>
      </c>
      <c r="DB9" s="696" t="n"/>
      <c r="DC9" s="697" t="n"/>
      <c r="DD9" s="697" t="n"/>
      <c r="DE9" s="697" t="n"/>
      <c r="DF9" s="697" t="n"/>
      <c r="DG9" s="697" t="n"/>
      <c r="DH9" s="697" t="n"/>
      <c r="DI9" s="697" t="n"/>
      <c r="DJ9" s="697" t="n"/>
      <c r="DK9" s="697" t="n"/>
      <c r="DL9" s="697" t="n"/>
      <c r="DM9" s="697" t="n"/>
      <c r="DN9" s="697" t="n"/>
      <c r="DO9" s="697" t="n"/>
      <c r="DP9" s="697" t="n"/>
      <c r="DQ9" s="697" t="n"/>
      <c r="DR9" s="697" t="n"/>
      <c r="DS9" s="697" t="n"/>
      <c r="DT9" s="697" t="n"/>
      <c r="DU9" s="697" t="n"/>
      <c r="DV9" s="697" t="n"/>
      <c r="DW9" s="697" t="n"/>
      <c r="DX9" s="697" t="n"/>
      <c r="DY9" s="697" t="n"/>
      <c r="DZ9" s="697" t="n"/>
      <c r="EA9" s="697" t="n"/>
      <c r="EB9" s="697" t="n"/>
      <c r="EC9" s="697" t="n"/>
      <c r="ED9" s="697" t="n"/>
      <c r="EE9" s="697" t="n"/>
      <c r="EF9" s="697" t="n"/>
      <c r="EG9" s="698">
        <f>IF($B9="","",SUM(DB9:EF9))</f>
        <v/>
      </c>
      <c r="EH9" s="699">
        <f>IF($B9="","",SUMIFS('ถอนเงิน'!$E$7:$E$306,'ถอนเงิน'!$C$7:$C$306,$A9,'ถอนเงิน'!$B$7:$B$306,"กุมภาพันธ์"))</f>
        <v/>
      </c>
      <c r="EI9" s="700">
        <f>IF($B9="","",N(DA9)+N(EG9)-N(EH9))</f>
        <v/>
      </c>
      <c r="EJ9" s="696" t="n"/>
      <c r="EK9" s="697" t="n"/>
      <c r="EL9" s="697" t="n"/>
      <c r="EM9" s="697" t="n"/>
      <c r="EN9" s="697" t="n"/>
      <c r="EO9" s="697" t="n"/>
      <c r="EP9" s="697" t="n"/>
      <c r="EQ9" s="697" t="n"/>
      <c r="ER9" s="697" t="n"/>
      <c r="ES9" s="697" t="n"/>
      <c r="ET9" s="697" t="n"/>
      <c r="EU9" s="697" t="n"/>
      <c r="EV9" s="697" t="n"/>
      <c r="EW9" s="697" t="n"/>
      <c r="EX9" s="697" t="n"/>
      <c r="EY9" s="697" t="n"/>
      <c r="EZ9" s="697" t="n"/>
      <c r="FA9" s="697" t="n"/>
      <c r="FB9" s="697" t="n"/>
      <c r="FC9" s="697" t="n"/>
      <c r="FD9" s="697" t="n"/>
      <c r="FE9" s="697" t="n"/>
      <c r="FF9" s="697" t="n"/>
      <c r="FG9" s="697" t="n"/>
      <c r="FH9" s="697" t="n"/>
      <c r="FI9" s="697" t="n"/>
      <c r="FJ9" s="697" t="n"/>
      <c r="FK9" s="697" t="n"/>
      <c r="FL9" s="697" t="n"/>
      <c r="FM9" s="697" t="n"/>
      <c r="FN9" s="697" t="n"/>
      <c r="FO9" s="698">
        <f>IF($B9="","",SUM(EJ9:FN9))</f>
        <v/>
      </c>
      <c r="FP9" s="699">
        <f>IF($B9="","",SUMIFS('ถอนเงิน'!$E$7:$E$306,'ถอนเงิน'!$C$7:$C$306,$A9,'ถอนเงิน'!$B$7:$B$306,"มีนาคม"))</f>
        <v/>
      </c>
      <c r="FQ9" s="700">
        <f>IF($B9="","",N(EI9)+N(FO9)-N(FP9))</f>
        <v/>
      </c>
    </row>
    <row r="10">
      <c r="A10" s="226" t="n">
        <v>2</v>
      </c>
      <c r="B10" s="227">
        <f>'ข้อมูลนักเรียน'!T10</f>
        <v/>
      </c>
      <c r="C10" s="709">
        <f>IF(B10="","",N('ออมเงิน-ภ1'!GY10))</f>
        <v/>
      </c>
      <c r="D10" s="696" t="n"/>
      <c r="E10" s="697" t="n"/>
      <c r="F10" s="697" t="n"/>
      <c r="G10" s="697" t="n"/>
      <c r="H10" s="697" t="n"/>
      <c r="I10" s="697" t="n"/>
      <c r="J10" s="697" t="n"/>
      <c r="K10" s="697" t="n"/>
      <c r="L10" s="697" t="n"/>
      <c r="M10" s="697" t="n"/>
      <c r="N10" s="697" t="n"/>
      <c r="O10" s="697" t="n"/>
      <c r="P10" s="697" t="n"/>
      <c r="Q10" s="697" t="n"/>
      <c r="R10" s="697" t="n"/>
      <c r="S10" s="697" t="n"/>
      <c r="T10" s="697" t="n"/>
      <c r="U10" s="697" t="n"/>
      <c r="V10" s="697" t="n"/>
      <c r="W10" s="697" t="n"/>
      <c r="X10" s="697" t="n"/>
      <c r="Y10" s="697" t="n"/>
      <c r="Z10" s="697" t="n"/>
      <c r="AA10" s="697" t="n"/>
      <c r="AB10" s="697" t="n"/>
      <c r="AC10" s="697" t="n"/>
      <c r="AD10" s="697" t="n"/>
      <c r="AE10" s="697" t="n"/>
      <c r="AF10" s="697" t="n"/>
      <c r="AG10" s="697" t="n"/>
      <c r="AH10" s="697" t="n"/>
      <c r="AI10" s="698">
        <f>IF($B10="","",SUM(D10:AH10))</f>
        <v/>
      </c>
      <c r="AJ10" s="699">
        <f>IF($B10="","",SUMIFS('ถอนเงิน'!$E$7:$E$306,'ถอนเงิน'!$C$7:$C$306,$A10,'ถอนเงิน'!$B$7:$B$306,"พฤศจิกายน"))</f>
        <v/>
      </c>
      <c r="AK10" s="700">
        <f>IF($B10="","",N(C10)+N(AI10)-N(AJ10))</f>
        <v/>
      </c>
      <c r="AL10" s="696" t="n"/>
      <c r="AM10" s="697" t="n"/>
      <c r="AN10" s="697" t="n"/>
      <c r="AO10" s="697" t="n"/>
      <c r="AP10" s="697" t="n"/>
      <c r="AQ10" s="697" t="n"/>
      <c r="AR10" s="697" t="n"/>
      <c r="AS10" s="697" t="n"/>
      <c r="AT10" s="697" t="n"/>
      <c r="AU10" s="697" t="n"/>
      <c r="AV10" s="697" t="n"/>
      <c r="AW10" s="697" t="n"/>
      <c r="AX10" s="697" t="n"/>
      <c r="AY10" s="697" t="n"/>
      <c r="AZ10" s="697" t="n"/>
      <c r="BA10" s="697" t="n"/>
      <c r="BB10" s="697" t="n"/>
      <c r="BC10" s="697" t="n"/>
      <c r="BD10" s="697" t="n"/>
      <c r="BE10" s="697" t="n"/>
      <c r="BF10" s="697" t="n"/>
      <c r="BG10" s="697" t="n"/>
      <c r="BH10" s="697" t="n"/>
      <c r="BI10" s="697" t="n"/>
      <c r="BJ10" s="697" t="n"/>
      <c r="BK10" s="697" t="n"/>
      <c r="BL10" s="697" t="n"/>
      <c r="BM10" s="697" t="n"/>
      <c r="BN10" s="697" t="n"/>
      <c r="BO10" s="697" t="n"/>
      <c r="BP10" s="697" t="n"/>
      <c r="BQ10" s="698">
        <f>IF($B10="","",SUM(AL10:BP10))</f>
        <v/>
      </c>
      <c r="BR10" s="699">
        <f>IF($B10="","",SUMIFS('ถอนเงิน'!$E$7:$E$306,'ถอนเงิน'!$C$7:$C$306,$A10,'ถอนเงิน'!$B$7:$B$306,"ธันวาคม"))</f>
        <v/>
      </c>
      <c r="BS10" s="700">
        <f>IF($B10="","",N(AK10)+N(BQ10)-N(BR10))</f>
        <v/>
      </c>
      <c r="BT10" s="696" t="n"/>
      <c r="BU10" s="697" t="n"/>
      <c r="BV10" s="697" t="n"/>
      <c r="BW10" s="697" t="n"/>
      <c r="BX10" s="697" t="n"/>
      <c r="BY10" s="697" t="n"/>
      <c r="BZ10" s="697" t="n"/>
      <c r="CA10" s="697" t="n"/>
      <c r="CB10" s="697" t="n"/>
      <c r="CC10" s="697" t="n"/>
      <c r="CD10" s="697" t="n"/>
      <c r="CE10" s="697" t="n"/>
      <c r="CF10" s="697" t="n"/>
      <c r="CG10" s="697" t="n"/>
      <c r="CH10" s="697" t="n"/>
      <c r="CI10" s="697" t="n"/>
      <c r="CJ10" s="697" t="n"/>
      <c r="CK10" s="697" t="n"/>
      <c r="CL10" s="697" t="n"/>
      <c r="CM10" s="697" t="n"/>
      <c r="CN10" s="697" t="n"/>
      <c r="CO10" s="697" t="n"/>
      <c r="CP10" s="697" t="n"/>
      <c r="CQ10" s="697" t="n"/>
      <c r="CR10" s="697" t="n"/>
      <c r="CS10" s="697" t="n"/>
      <c r="CT10" s="697" t="n"/>
      <c r="CU10" s="697" t="n"/>
      <c r="CV10" s="697" t="n"/>
      <c r="CW10" s="697" t="n"/>
      <c r="CX10" s="697" t="n"/>
      <c r="CY10" s="698">
        <f>IF($B10="","",SUM(BT10:CX10))</f>
        <v/>
      </c>
      <c r="CZ10" s="699">
        <f>IF($B10="","",SUMIFS('ถอนเงิน'!$E$7:$E$306,'ถอนเงิน'!$C$7:$C$306,$A10,'ถอนเงิน'!$B$7:$B$306,"มกราคม"))</f>
        <v/>
      </c>
      <c r="DA10" s="700">
        <f>IF($B10="","",N(BS10)+N(CY10)-N(CZ10))</f>
        <v/>
      </c>
      <c r="DB10" s="696" t="n"/>
      <c r="DC10" s="697" t="n"/>
      <c r="DD10" s="697" t="n"/>
      <c r="DE10" s="697" t="n"/>
      <c r="DF10" s="697" t="n"/>
      <c r="DG10" s="697" t="n"/>
      <c r="DH10" s="697" t="n"/>
      <c r="DI10" s="697" t="n"/>
      <c r="DJ10" s="697" t="n"/>
      <c r="DK10" s="697" t="n"/>
      <c r="DL10" s="697" t="n"/>
      <c r="DM10" s="697" t="n"/>
      <c r="DN10" s="697" t="n"/>
      <c r="DO10" s="697" t="n"/>
      <c r="DP10" s="697" t="n"/>
      <c r="DQ10" s="697" t="n"/>
      <c r="DR10" s="697" t="n"/>
      <c r="DS10" s="697" t="n"/>
      <c r="DT10" s="697" t="n"/>
      <c r="DU10" s="697" t="n"/>
      <c r="DV10" s="697" t="n"/>
      <c r="DW10" s="697" t="n"/>
      <c r="DX10" s="697" t="n"/>
      <c r="DY10" s="697" t="n"/>
      <c r="DZ10" s="697" t="n"/>
      <c r="EA10" s="697" t="n"/>
      <c r="EB10" s="697" t="n"/>
      <c r="EC10" s="697" t="n"/>
      <c r="ED10" s="697" t="n"/>
      <c r="EE10" s="697" t="n"/>
      <c r="EF10" s="697" t="n"/>
      <c r="EG10" s="698">
        <f>IF($B10="","",SUM(DB10:EF10))</f>
        <v/>
      </c>
      <c r="EH10" s="699">
        <f>IF($B10="","",SUMIFS('ถอนเงิน'!$E$7:$E$306,'ถอนเงิน'!$C$7:$C$306,$A10,'ถอนเงิน'!$B$7:$B$306,"กุมภาพันธ์"))</f>
        <v/>
      </c>
      <c r="EI10" s="700">
        <f>IF($B10="","",N(DA10)+N(EG10)-N(EH10))</f>
        <v/>
      </c>
      <c r="EJ10" s="696" t="n"/>
      <c r="EK10" s="697" t="n"/>
      <c r="EL10" s="697" t="n"/>
      <c r="EM10" s="697" t="n"/>
      <c r="EN10" s="697" t="n"/>
      <c r="EO10" s="697" t="n"/>
      <c r="EP10" s="697" t="n"/>
      <c r="EQ10" s="697" t="n"/>
      <c r="ER10" s="697" t="n"/>
      <c r="ES10" s="697" t="n"/>
      <c r="ET10" s="697" t="n"/>
      <c r="EU10" s="697" t="n"/>
      <c r="EV10" s="697" t="n"/>
      <c r="EW10" s="697" t="n"/>
      <c r="EX10" s="697" t="n"/>
      <c r="EY10" s="697" t="n"/>
      <c r="EZ10" s="697" t="n"/>
      <c r="FA10" s="697" t="n"/>
      <c r="FB10" s="697" t="n"/>
      <c r="FC10" s="697" t="n"/>
      <c r="FD10" s="697" t="n"/>
      <c r="FE10" s="697" t="n"/>
      <c r="FF10" s="697" t="n"/>
      <c r="FG10" s="697" t="n"/>
      <c r="FH10" s="697" t="n"/>
      <c r="FI10" s="697" t="n"/>
      <c r="FJ10" s="697" t="n"/>
      <c r="FK10" s="697" t="n"/>
      <c r="FL10" s="697" t="n"/>
      <c r="FM10" s="697" t="n"/>
      <c r="FN10" s="697" t="n"/>
      <c r="FO10" s="698">
        <f>IF($B10="","",SUM(EJ10:FN10))</f>
        <v/>
      </c>
      <c r="FP10" s="699">
        <f>IF($B10="","",SUMIFS('ถอนเงิน'!$E$7:$E$306,'ถอนเงิน'!$C$7:$C$306,$A10,'ถอนเงิน'!$B$7:$B$306,"มีนาคม"))</f>
        <v/>
      </c>
      <c r="FQ10" s="700">
        <f>IF($B10="","",N(EI10)+N(FO10)-N(FP10))</f>
        <v/>
      </c>
    </row>
    <row r="11">
      <c r="A11" s="218" t="n">
        <v>3</v>
      </c>
      <c r="B11" s="219">
        <f>'ข้อมูลนักเรียน'!T11</f>
        <v/>
      </c>
      <c r="C11" s="709">
        <f>IF(B11="","",N('ออมเงิน-ภ1'!GY11))</f>
        <v/>
      </c>
      <c r="D11" s="696" t="n"/>
      <c r="E11" s="697" t="n"/>
      <c r="F11" s="697" t="n"/>
      <c r="G11" s="697" t="n"/>
      <c r="H11" s="697" t="n"/>
      <c r="I11" s="697" t="n"/>
      <c r="J11" s="697" t="n"/>
      <c r="K11" s="697" t="n"/>
      <c r="L11" s="697" t="n"/>
      <c r="M11" s="697" t="n"/>
      <c r="N11" s="697" t="n"/>
      <c r="O11" s="697" t="n"/>
      <c r="P11" s="697" t="n"/>
      <c r="Q11" s="697" t="n"/>
      <c r="R11" s="697" t="n"/>
      <c r="S11" s="697" t="n"/>
      <c r="T11" s="697" t="n"/>
      <c r="U11" s="697" t="n"/>
      <c r="V11" s="697" t="n"/>
      <c r="W11" s="697" t="n"/>
      <c r="X11" s="697" t="n"/>
      <c r="Y11" s="697" t="n"/>
      <c r="Z11" s="697" t="n"/>
      <c r="AA11" s="697" t="n"/>
      <c r="AB11" s="697" t="n"/>
      <c r="AC11" s="697" t="n"/>
      <c r="AD11" s="697" t="n"/>
      <c r="AE11" s="697" t="n"/>
      <c r="AF11" s="697" t="n"/>
      <c r="AG11" s="697" t="n"/>
      <c r="AH11" s="697" t="n"/>
      <c r="AI11" s="698">
        <f>IF($B11="","",SUM(D11:AH11))</f>
        <v/>
      </c>
      <c r="AJ11" s="699">
        <f>IF($B11="","",SUMIFS('ถอนเงิน'!$E$7:$E$306,'ถอนเงิน'!$C$7:$C$306,$A11,'ถอนเงิน'!$B$7:$B$306,"พฤศจิกายน"))</f>
        <v/>
      </c>
      <c r="AK11" s="700">
        <f>IF($B11="","",N(C11)+N(AI11)-N(AJ11))</f>
        <v/>
      </c>
      <c r="AL11" s="696" t="n"/>
      <c r="AM11" s="697" t="n"/>
      <c r="AN11" s="697" t="n"/>
      <c r="AO11" s="697" t="n"/>
      <c r="AP11" s="697" t="n"/>
      <c r="AQ11" s="697" t="n"/>
      <c r="AR11" s="697" t="n"/>
      <c r="AS11" s="697" t="n"/>
      <c r="AT11" s="697" t="n"/>
      <c r="AU11" s="697" t="n"/>
      <c r="AV11" s="697" t="n"/>
      <c r="AW11" s="697" t="n"/>
      <c r="AX11" s="697" t="n"/>
      <c r="AY11" s="697" t="n"/>
      <c r="AZ11" s="697" t="n"/>
      <c r="BA11" s="697" t="n"/>
      <c r="BB11" s="697" t="n"/>
      <c r="BC11" s="697" t="n"/>
      <c r="BD11" s="697" t="n"/>
      <c r="BE11" s="697" t="n"/>
      <c r="BF11" s="697" t="n"/>
      <c r="BG11" s="697" t="n"/>
      <c r="BH11" s="697" t="n"/>
      <c r="BI11" s="697" t="n"/>
      <c r="BJ11" s="697" t="n"/>
      <c r="BK11" s="697" t="n"/>
      <c r="BL11" s="697" t="n"/>
      <c r="BM11" s="697" t="n"/>
      <c r="BN11" s="697" t="n"/>
      <c r="BO11" s="697" t="n"/>
      <c r="BP11" s="697" t="n"/>
      <c r="BQ11" s="698">
        <f>IF($B11="","",SUM(AL11:BP11))</f>
        <v/>
      </c>
      <c r="BR11" s="699">
        <f>IF($B11="","",SUMIFS('ถอนเงิน'!$E$7:$E$306,'ถอนเงิน'!$C$7:$C$306,$A11,'ถอนเงิน'!$B$7:$B$306,"ธันวาคม"))</f>
        <v/>
      </c>
      <c r="BS11" s="700">
        <f>IF($B11="","",N(AK11)+N(BQ11)-N(BR11))</f>
        <v/>
      </c>
      <c r="BT11" s="696" t="n"/>
      <c r="BU11" s="697" t="n"/>
      <c r="BV11" s="697" t="n"/>
      <c r="BW11" s="697" t="n"/>
      <c r="BX11" s="697" t="n"/>
      <c r="BY11" s="697" t="n"/>
      <c r="BZ11" s="697" t="n"/>
      <c r="CA11" s="697" t="n"/>
      <c r="CB11" s="697" t="n"/>
      <c r="CC11" s="697" t="n"/>
      <c r="CD11" s="697" t="n"/>
      <c r="CE11" s="697" t="n"/>
      <c r="CF11" s="697" t="n"/>
      <c r="CG11" s="697" t="n"/>
      <c r="CH11" s="697" t="n"/>
      <c r="CI11" s="697" t="n"/>
      <c r="CJ11" s="697" t="n"/>
      <c r="CK11" s="697" t="n"/>
      <c r="CL11" s="697" t="n"/>
      <c r="CM11" s="697" t="n"/>
      <c r="CN11" s="697" t="n"/>
      <c r="CO11" s="697" t="n"/>
      <c r="CP11" s="697" t="n"/>
      <c r="CQ11" s="697" t="n"/>
      <c r="CR11" s="697" t="n"/>
      <c r="CS11" s="697" t="n"/>
      <c r="CT11" s="697" t="n"/>
      <c r="CU11" s="697" t="n"/>
      <c r="CV11" s="697" t="n"/>
      <c r="CW11" s="697" t="n"/>
      <c r="CX11" s="697" t="n"/>
      <c r="CY11" s="698">
        <f>IF($B11="","",SUM(BT11:CX11))</f>
        <v/>
      </c>
      <c r="CZ11" s="699">
        <f>IF($B11="","",SUMIFS('ถอนเงิน'!$E$7:$E$306,'ถอนเงิน'!$C$7:$C$306,$A11,'ถอนเงิน'!$B$7:$B$306,"มกราคม"))</f>
        <v/>
      </c>
      <c r="DA11" s="700">
        <f>IF($B11="","",N(BS11)+N(CY11)-N(CZ11))</f>
        <v/>
      </c>
      <c r="DB11" s="696" t="n"/>
      <c r="DC11" s="697" t="n"/>
      <c r="DD11" s="697" t="n"/>
      <c r="DE11" s="697" t="n"/>
      <c r="DF11" s="697" t="n"/>
      <c r="DG11" s="697" t="n"/>
      <c r="DH11" s="697" t="n"/>
      <c r="DI11" s="697" t="n"/>
      <c r="DJ11" s="697" t="n"/>
      <c r="DK11" s="697" t="n"/>
      <c r="DL11" s="697" t="n"/>
      <c r="DM11" s="697" t="n"/>
      <c r="DN11" s="697" t="n"/>
      <c r="DO11" s="697" t="n"/>
      <c r="DP11" s="697" t="n"/>
      <c r="DQ11" s="697" t="n"/>
      <c r="DR11" s="697" t="n"/>
      <c r="DS11" s="697" t="n"/>
      <c r="DT11" s="697" t="n"/>
      <c r="DU11" s="697" t="n"/>
      <c r="DV11" s="697" t="n"/>
      <c r="DW11" s="697" t="n"/>
      <c r="DX11" s="697" t="n"/>
      <c r="DY11" s="697" t="n"/>
      <c r="DZ11" s="697" t="n"/>
      <c r="EA11" s="697" t="n"/>
      <c r="EB11" s="697" t="n"/>
      <c r="EC11" s="697" t="n"/>
      <c r="ED11" s="697" t="n"/>
      <c r="EE11" s="697" t="n"/>
      <c r="EF11" s="697" t="n"/>
      <c r="EG11" s="698">
        <f>IF($B11="","",SUM(DB11:EF11))</f>
        <v/>
      </c>
      <c r="EH11" s="699">
        <f>IF($B11="","",SUMIFS('ถอนเงิน'!$E$7:$E$306,'ถอนเงิน'!$C$7:$C$306,$A11,'ถอนเงิน'!$B$7:$B$306,"กุมภาพันธ์"))</f>
        <v/>
      </c>
      <c r="EI11" s="700">
        <f>IF($B11="","",N(DA11)+N(EG11)-N(EH11))</f>
        <v/>
      </c>
      <c r="EJ11" s="696" t="n"/>
      <c r="EK11" s="697" t="n"/>
      <c r="EL11" s="697" t="n"/>
      <c r="EM11" s="697" t="n"/>
      <c r="EN11" s="697" t="n"/>
      <c r="EO11" s="697" t="n"/>
      <c r="EP11" s="697" t="n"/>
      <c r="EQ11" s="697" t="n"/>
      <c r="ER11" s="697" t="n"/>
      <c r="ES11" s="697" t="n"/>
      <c r="ET11" s="697" t="n"/>
      <c r="EU11" s="697" t="n"/>
      <c r="EV11" s="697" t="n"/>
      <c r="EW11" s="697" t="n"/>
      <c r="EX11" s="697" t="n"/>
      <c r="EY11" s="697" t="n"/>
      <c r="EZ11" s="697" t="n"/>
      <c r="FA11" s="697" t="n"/>
      <c r="FB11" s="697" t="n"/>
      <c r="FC11" s="697" t="n"/>
      <c r="FD11" s="697" t="n"/>
      <c r="FE11" s="697" t="n"/>
      <c r="FF11" s="697" t="n"/>
      <c r="FG11" s="697" t="n"/>
      <c r="FH11" s="697" t="n"/>
      <c r="FI11" s="697" t="n"/>
      <c r="FJ11" s="697" t="n"/>
      <c r="FK11" s="697" t="n"/>
      <c r="FL11" s="697" t="n"/>
      <c r="FM11" s="697" t="n"/>
      <c r="FN11" s="697" t="n"/>
      <c r="FO11" s="698">
        <f>IF($B11="","",SUM(EJ11:FN11))</f>
        <v/>
      </c>
      <c r="FP11" s="699">
        <f>IF($B11="","",SUMIFS('ถอนเงิน'!$E$7:$E$306,'ถอนเงิน'!$C$7:$C$306,$A11,'ถอนเงิน'!$B$7:$B$306,"มีนาคม"))</f>
        <v/>
      </c>
      <c r="FQ11" s="700">
        <f>IF($B11="","",N(EI11)+N(FO11)-N(FP11))</f>
        <v/>
      </c>
    </row>
    <row r="12">
      <c r="A12" s="226" t="n">
        <v>4</v>
      </c>
      <c r="B12" s="227">
        <f>'ข้อมูลนักเรียน'!T12</f>
        <v/>
      </c>
      <c r="C12" s="709">
        <f>IF(B12="","",N('ออมเงิน-ภ1'!GY12))</f>
        <v/>
      </c>
      <c r="D12" s="696" t="n"/>
      <c r="E12" s="697" t="n"/>
      <c r="F12" s="697" t="n"/>
      <c r="G12" s="697" t="n"/>
      <c r="H12" s="697" t="n"/>
      <c r="I12" s="697" t="n"/>
      <c r="J12" s="697" t="n"/>
      <c r="K12" s="697" t="n"/>
      <c r="L12" s="697" t="n"/>
      <c r="M12" s="697" t="n"/>
      <c r="N12" s="697" t="n"/>
      <c r="O12" s="697" t="n"/>
      <c r="P12" s="697" t="n"/>
      <c r="Q12" s="697" t="n"/>
      <c r="R12" s="697" t="n"/>
      <c r="S12" s="697" t="n"/>
      <c r="T12" s="697" t="n"/>
      <c r="U12" s="697" t="n"/>
      <c r="V12" s="697" t="n"/>
      <c r="W12" s="697" t="n"/>
      <c r="X12" s="697" t="n"/>
      <c r="Y12" s="697" t="n"/>
      <c r="Z12" s="697" t="n"/>
      <c r="AA12" s="697" t="n"/>
      <c r="AB12" s="697" t="n"/>
      <c r="AC12" s="697" t="n"/>
      <c r="AD12" s="697" t="n"/>
      <c r="AE12" s="697" t="n"/>
      <c r="AF12" s="697" t="n"/>
      <c r="AG12" s="697" t="n"/>
      <c r="AH12" s="697" t="n"/>
      <c r="AI12" s="698">
        <f>IF($B12="","",SUM(D12:AH12))</f>
        <v/>
      </c>
      <c r="AJ12" s="699">
        <f>IF($B12="","",SUMIFS('ถอนเงิน'!$E$7:$E$306,'ถอนเงิน'!$C$7:$C$306,$A12,'ถอนเงิน'!$B$7:$B$306,"พฤศจิกายน"))</f>
        <v/>
      </c>
      <c r="AK12" s="700">
        <f>IF($B12="","",N(C12)+N(AI12)-N(AJ12))</f>
        <v/>
      </c>
      <c r="AL12" s="696" t="n"/>
      <c r="AM12" s="697" t="n"/>
      <c r="AN12" s="697" t="n"/>
      <c r="AO12" s="697" t="n"/>
      <c r="AP12" s="697" t="n"/>
      <c r="AQ12" s="697" t="n"/>
      <c r="AR12" s="697" t="n"/>
      <c r="AS12" s="697" t="n"/>
      <c r="AT12" s="697" t="n"/>
      <c r="AU12" s="697" t="n"/>
      <c r="AV12" s="697" t="n"/>
      <c r="AW12" s="697" t="n"/>
      <c r="AX12" s="697" t="n"/>
      <c r="AY12" s="697" t="n"/>
      <c r="AZ12" s="697" t="n"/>
      <c r="BA12" s="697" t="n"/>
      <c r="BB12" s="697" t="n"/>
      <c r="BC12" s="697" t="n"/>
      <c r="BD12" s="697" t="n"/>
      <c r="BE12" s="697" t="n"/>
      <c r="BF12" s="697" t="n"/>
      <c r="BG12" s="697" t="n"/>
      <c r="BH12" s="697" t="n"/>
      <c r="BI12" s="697" t="n"/>
      <c r="BJ12" s="697" t="n"/>
      <c r="BK12" s="697" t="n"/>
      <c r="BL12" s="697" t="n"/>
      <c r="BM12" s="697" t="n"/>
      <c r="BN12" s="697" t="n"/>
      <c r="BO12" s="697" t="n"/>
      <c r="BP12" s="697" t="n"/>
      <c r="BQ12" s="698">
        <f>IF($B12="","",SUM(AL12:BP12))</f>
        <v/>
      </c>
      <c r="BR12" s="699">
        <f>IF($B12="","",SUMIFS('ถอนเงิน'!$E$7:$E$306,'ถอนเงิน'!$C$7:$C$306,$A12,'ถอนเงิน'!$B$7:$B$306,"ธันวาคม"))</f>
        <v/>
      </c>
      <c r="BS12" s="700">
        <f>IF($B12="","",N(AK12)+N(BQ12)-N(BR12))</f>
        <v/>
      </c>
      <c r="BT12" s="696" t="n"/>
      <c r="BU12" s="697" t="n"/>
      <c r="BV12" s="697" t="n"/>
      <c r="BW12" s="697" t="n"/>
      <c r="BX12" s="697" t="n"/>
      <c r="BY12" s="697" t="n"/>
      <c r="BZ12" s="697" t="n"/>
      <c r="CA12" s="697" t="n"/>
      <c r="CB12" s="697" t="n"/>
      <c r="CC12" s="697" t="n"/>
      <c r="CD12" s="697" t="n"/>
      <c r="CE12" s="697" t="n"/>
      <c r="CF12" s="697" t="n"/>
      <c r="CG12" s="697" t="n"/>
      <c r="CH12" s="697" t="n"/>
      <c r="CI12" s="697" t="n"/>
      <c r="CJ12" s="697" t="n"/>
      <c r="CK12" s="697" t="n"/>
      <c r="CL12" s="697" t="n"/>
      <c r="CM12" s="697" t="n"/>
      <c r="CN12" s="697" t="n"/>
      <c r="CO12" s="697" t="n"/>
      <c r="CP12" s="697" t="n"/>
      <c r="CQ12" s="697" t="n"/>
      <c r="CR12" s="697" t="n"/>
      <c r="CS12" s="697" t="n"/>
      <c r="CT12" s="697" t="n"/>
      <c r="CU12" s="697" t="n"/>
      <c r="CV12" s="697" t="n"/>
      <c r="CW12" s="697" t="n"/>
      <c r="CX12" s="697" t="n"/>
      <c r="CY12" s="698">
        <f>IF($B12="","",SUM(BT12:CX12))</f>
        <v/>
      </c>
      <c r="CZ12" s="699">
        <f>IF($B12="","",SUMIFS('ถอนเงิน'!$E$7:$E$306,'ถอนเงิน'!$C$7:$C$306,$A12,'ถอนเงิน'!$B$7:$B$306,"มกราคม"))</f>
        <v/>
      </c>
      <c r="DA12" s="700">
        <f>IF($B12="","",N(BS12)+N(CY12)-N(CZ12))</f>
        <v/>
      </c>
      <c r="DB12" s="696" t="n"/>
      <c r="DC12" s="697" t="n"/>
      <c r="DD12" s="697" t="n"/>
      <c r="DE12" s="697" t="n"/>
      <c r="DF12" s="697" t="n"/>
      <c r="DG12" s="697" t="n"/>
      <c r="DH12" s="697" t="n"/>
      <c r="DI12" s="697" t="n"/>
      <c r="DJ12" s="697" t="n"/>
      <c r="DK12" s="697" t="n"/>
      <c r="DL12" s="697" t="n"/>
      <c r="DM12" s="697" t="n"/>
      <c r="DN12" s="697" t="n"/>
      <c r="DO12" s="697" t="n"/>
      <c r="DP12" s="697" t="n"/>
      <c r="DQ12" s="697" t="n"/>
      <c r="DR12" s="697" t="n"/>
      <c r="DS12" s="697" t="n"/>
      <c r="DT12" s="697" t="n"/>
      <c r="DU12" s="697" t="n"/>
      <c r="DV12" s="697" t="n"/>
      <c r="DW12" s="697" t="n"/>
      <c r="DX12" s="697" t="n"/>
      <c r="DY12" s="697" t="n"/>
      <c r="DZ12" s="697" t="n"/>
      <c r="EA12" s="697" t="n"/>
      <c r="EB12" s="697" t="n"/>
      <c r="EC12" s="697" t="n"/>
      <c r="ED12" s="697" t="n"/>
      <c r="EE12" s="697" t="n"/>
      <c r="EF12" s="697" t="n"/>
      <c r="EG12" s="698">
        <f>IF($B12="","",SUM(DB12:EF12))</f>
        <v/>
      </c>
      <c r="EH12" s="699">
        <f>IF($B12="","",SUMIFS('ถอนเงิน'!$E$7:$E$306,'ถอนเงิน'!$C$7:$C$306,$A12,'ถอนเงิน'!$B$7:$B$306,"กุมภาพันธ์"))</f>
        <v/>
      </c>
      <c r="EI12" s="700">
        <f>IF($B12="","",N(DA12)+N(EG12)-N(EH12))</f>
        <v/>
      </c>
      <c r="EJ12" s="696" t="n"/>
      <c r="EK12" s="697" t="n"/>
      <c r="EL12" s="697" t="n"/>
      <c r="EM12" s="697" t="n"/>
      <c r="EN12" s="697" t="n"/>
      <c r="EO12" s="697" t="n"/>
      <c r="EP12" s="697" t="n"/>
      <c r="EQ12" s="697" t="n"/>
      <c r="ER12" s="697" t="n"/>
      <c r="ES12" s="697" t="n"/>
      <c r="ET12" s="697" t="n"/>
      <c r="EU12" s="697" t="n"/>
      <c r="EV12" s="697" t="n"/>
      <c r="EW12" s="697" t="n"/>
      <c r="EX12" s="697" t="n"/>
      <c r="EY12" s="697" t="n"/>
      <c r="EZ12" s="697" t="n"/>
      <c r="FA12" s="697" t="n"/>
      <c r="FB12" s="697" t="n"/>
      <c r="FC12" s="697" t="n"/>
      <c r="FD12" s="697" t="n"/>
      <c r="FE12" s="697" t="n"/>
      <c r="FF12" s="697" t="n"/>
      <c r="FG12" s="697" t="n"/>
      <c r="FH12" s="697" t="n"/>
      <c r="FI12" s="697" t="n"/>
      <c r="FJ12" s="697" t="n"/>
      <c r="FK12" s="697" t="n"/>
      <c r="FL12" s="697" t="n"/>
      <c r="FM12" s="697" t="n"/>
      <c r="FN12" s="697" t="n"/>
      <c r="FO12" s="698">
        <f>IF($B12="","",SUM(EJ12:FN12))</f>
        <v/>
      </c>
      <c r="FP12" s="699">
        <f>IF($B12="","",SUMIFS('ถอนเงิน'!$E$7:$E$306,'ถอนเงิน'!$C$7:$C$306,$A12,'ถอนเงิน'!$B$7:$B$306,"มีนาคม"))</f>
        <v/>
      </c>
      <c r="FQ12" s="700">
        <f>IF($B12="","",N(EI12)+N(FO12)-N(FP12))</f>
        <v/>
      </c>
    </row>
    <row r="13">
      <c r="A13" s="218" t="n">
        <v>5</v>
      </c>
      <c r="B13" s="219">
        <f>'ข้อมูลนักเรียน'!T13</f>
        <v/>
      </c>
      <c r="C13" s="709">
        <f>IF(B13="","",N('ออมเงิน-ภ1'!GY13))</f>
        <v/>
      </c>
      <c r="D13" s="696" t="n"/>
      <c r="E13" s="697" t="n"/>
      <c r="F13" s="697" t="n"/>
      <c r="G13" s="697" t="n"/>
      <c r="H13" s="697" t="n"/>
      <c r="I13" s="697" t="n"/>
      <c r="J13" s="697" t="n"/>
      <c r="K13" s="697" t="n"/>
      <c r="L13" s="697" t="n"/>
      <c r="M13" s="697" t="n"/>
      <c r="N13" s="697" t="n"/>
      <c r="O13" s="697" t="n"/>
      <c r="P13" s="697" t="n"/>
      <c r="Q13" s="697" t="n"/>
      <c r="R13" s="697" t="n"/>
      <c r="S13" s="697" t="n"/>
      <c r="T13" s="697" t="n"/>
      <c r="U13" s="697" t="n"/>
      <c r="V13" s="697" t="n"/>
      <c r="W13" s="697" t="n"/>
      <c r="X13" s="697" t="n"/>
      <c r="Y13" s="697" t="n"/>
      <c r="Z13" s="697" t="n"/>
      <c r="AA13" s="697" t="n"/>
      <c r="AB13" s="697" t="n"/>
      <c r="AC13" s="697" t="n"/>
      <c r="AD13" s="697" t="n"/>
      <c r="AE13" s="697" t="n"/>
      <c r="AF13" s="697" t="n"/>
      <c r="AG13" s="697" t="n"/>
      <c r="AH13" s="697" t="n"/>
      <c r="AI13" s="698">
        <f>IF($B13="","",SUM(D13:AH13))</f>
        <v/>
      </c>
      <c r="AJ13" s="699">
        <f>IF($B13="","",SUMIFS('ถอนเงิน'!$E$7:$E$306,'ถอนเงิน'!$C$7:$C$306,$A13,'ถอนเงิน'!$B$7:$B$306,"พฤศจิกายน"))</f>
        <v/>
      </c>
      <c r="AK13" s="700">
        <f>IF($B13="","",N(C13)+N(AI13)-N(AJ13))</f>
        <v/>
      </c>
      <c r="AL13" s="696" t="n"/>
      <c r="AM13" s="697" t="n"/>
      <c r="AN13" s="697" t="n"/>
      <c r="AO13" s="697" t="n"/>
      <c r="AP13" s="697" t="n"/>
      <c r="AQ13" s="697" t="n"/>
      <c r="AR13" s="697" t="n"/>
      <c r="AS13" s="697" t="n"/>
      <c r="AT13" s="697" t="n"/>
      <c r="AU13" s="697" t="n"/>
      <c r="AV13" s="697" t="n"/>
      <c r="AW13" s="697" t="n"/>
      <c r="AX13" s="697" t="n"/>
      <c r="AY13" s="697" t="n"/>
      <c r="AZ13" s="697" t="n"/>
      <c r="BA13" s="697" t="n"/>
      <c r="BB13" s="697" t="n"/>
      <c r="BC13" s="697" t="n"/>
      <c r="BD13" s="697" t="n"/>
      <c r="BE13" s="697" t="n"/>
      <c r="BF13" s="697" t="n"/>
      <c r="BG13" s="697" t="n"/>
      <c r="BH13" s="697" t="n"/>
      <c r="BI13" s="697" t="n"/>
      <c r="BJ13" s="697" t="n"/>
      <c r="BK13" s="697" t="n"/>
      <c r="BL13" s="697" t="n"/>
      <c r="BM13" s="697" t="n"/>
      <c r="BN13" s="697" t="n"/>
      <c r="BO13" s="697" t="n"/>
      <c r="BP13" s="697" t="n"/>
      <c r="BQ13" s="698">
        <f>IF($B13="","",SUM(AL13:BP13))</f>
        <v/>
      </c>
      <c r="BR13" s="699">
        <f>IF($B13="","",SUMIFS('ถอนเงิน'!$E$7:$E$306,'ถอนเงิน'!$C$7:$C$306,$A13,'ถอนเงิน'!$B$7:$B$306,"ธันวาคม"))</f>
        <v/>
      </c>
      <c r="BS13" s="700">
        <f>IF($B13="","",N(AK13)+N(BQ13)-N(BR13))</f>
        <v/>
      </c>
      <c r="BT13" s="696" t="n"/>
      <c r="BU13" s="697" t="n"/>
      <c r="BV13" s="697" t="n"/>
      <c r="BW13" s="697" t="n"/>
      <c r="BX13" s="697" t="n"/>
      <c r="BY13" s="697" t="n"/>
      <c r="BZ13" s="697" t="n"/>
      <c r="CA13" s="697" t="n"/>
      <c r="CB13" s="697" t="n"/>
      <c r="CC13" s="697" t="n"/>
      <c r="CD13" s="697" t="n"/>
      <c r="CE13" s="697" t="n"/>
      <c r="CF13" s="697" t="n"/>
      <c r="CG13" s="697" t="n"/>
      <c r="CH13" s="697" t="n"/>
      <c r="CI13" s="697" t="n"/>
      <c r="CJ13" s="697" t="n"/>
      <c r="CK13" s="697" t="n"/>
      <c r="CL13" s="697" t="n"/>
      <c r="CM13" s="697" t="n"/>
      <c r="CN13" s="697" t="n"/>
      <c r="CO13" s="697" t="n"/>
      <c r="CP13" s="697" t="n"/>
      <c r="CQ13" s="697" t="n"/>
      <c r="CR13" s="697" t="n"/>
      <c r="CS13" s="697" t="n"/>
      <c r="CT13" s="697" t="n"/>
      <c r="CU13" s="697" t="n"/>
      <c r="CV13" s="697" t="n"/>
      <c r="CW13" s="697" t="n"/>
      <c r="CX13" s="697" t="n"/>
      <c r="CY13" s="698">
        <f>IF($B13="","",SUM(BT13:CX13))</f>
        <v/>
      </c>
      <c r="CZ13" s="699">
        <f>IF($B13="","",SUMIFS('ถอนเงิน'!$E$7:$E$306,'ถอนเงิน'!$C$7:$C$306,$A13,'ถอนเงิน'!$B$7:$B$306,"มกราคม"))</f>
        <v/>
      </c>
      <c r="DA13" s="700">
        <f>IF($B13="","",N(BS13)+N(CY13)-N(CZ13))</f>
        <v/>
      </c>
      <c r="DB13" s="696" t="n"/>
      <c r="DC13" s="697" t="n"/>
      <c r="DD13" s="697" t="n"/>
      <c r="DE13" s="697" t="n"/>
      <c r="DF13" s="697" t="n"/>
      <c r="DG13" s="697" t="n"/>
      <c r="DH13" s="697" t="n"/>
      <c r="DI13" s="697" t="n"/>
      <c r="DJ13" s="697" t="n"/>
      <c r="DK13" s="697" t="n"/>
      <c r="DL13" s="697" t="n"/>
      <c r="DM13" s="697" t="n"/>
      <c r="DN13" s="697" t="n"/>
      <c r="DO13" s="697" t="n"/>
      <c r="DP13" s="697" t="n"/>
      <c r="DQ13" s="697" t="n"/>
      <c r="DR13" s="697" t="n"/>
      <c r="DS13" s="697" t="n"/>
      <c r="DT13" s="697" t="n"/>
      <c r="DU13" s="697" t="n"/>
      <c r="DV13" s="697" t="n"/>
      <c r="DW13" s="697" t="n"/>
      <c r="DX13" s="697" t="n"/>
      <c r="DY13" s="697" t="n"/>
      <c r="DZ13" s="697" t="n"/>
      <c r="EA13" s="697" t="n"/>
      <c r="EB13" s="697" t="n"/>
      <c r="EC13" s="697" t="n"/>
      <c r="ED13" s="697" t="n"/>
      <c r="EE13" s="697" t="n"/>
      <c r="EF13" s="697" t="n"/>
      <c r="EG13" s="698">
        <f>IF($B13="","",SUM(DB13:EF13))</f>
        <v/>
      </c>
      <c r="EH13" s="699">
        <f>IF($B13="","",SUMIFS('ถอนเงิน'!$E$7:$E$306,'ถอนเงิน'!$C$7:$C$306,$A13,'ถอนเงิน'!$B$7:$B$306,"กุมภาพันธ์"))</f>
        <v/>
      </c>
      <c r="EI13" s="700">
        <f>IF($B13="","",N(DA13)+N(EG13)-N(EH13))</f>
        <v/>
      </c>
      <c r="EJ13" s="696" t="n"/>
      <c r="EK13" s="697" t="n"/>
      <c r="EL13" s="697" t="n"/>
      <c r="EM13" s="697" t="n"/>
      <c r="EN13" s="697" t="n"/>
      <c r="EO13" s="697" t="n"/>
      <c r="EP13" s="697" t="n"/>
      <c r="EQ13" s="697" t="n"/>
      <c r="ER13" s="697" t="n"/>
      <c r="ES13" s="697" t="n"/>
      <c r="ET13" s="697" t="n"/>
      <c r="EU13" s="697" t="n"/>
      <c r="EV13" s="697" t="n"/>
      <c r="EW13" s="697" t="n"/>
      <c r="EX13" s="697" t="n"/>
      <c r="EY13" s="697" t="n"/>
      <c r="EZ13" s="697" t="n"/>
      <c r="FA13" s="697" t="n"/>
      <c r="FB13" s="697" t="n"/>
      <c r="FC13" s="697" t="n"/>
      <c r="FD13" s="697" t="n"/>
      <c r="FE13" s="697" t="n"/>
      <c r="FF13" s="697" t="n"/>
      <c r="FG13" s="697" t="n"/>
      <c r="FH13" s="697" t="n"/>
      <c r="FI13" s="697" t="n"/>
      <c r="FJ13" s="697" t="n"/>
      <c r="FK13" s="697" t="n"/>
      <c r="FL13" s="697" t="n"/>
      <c r="FM13" s="697" t="n"/>
      <c r="FN13" s="697" t="n"/>
      <c r="FO13" s="698">
        <f>IF($B13="","",SUM(EJ13:FN13))</f>
        <v/>
      </c>
      <c r="FP13" s="699">
        <f>IF($B13="","",SUMIFS('ถอนเงิน'!$E$7:$E$306,'ถอนเงิน'!$C$7:$C$306,$A13,'ถอนเงิน'!$B$7:$B$306,"มีนาคม"))</f>
        <v/>
      </c>
      <c r="FQ13" s="700">
        <f>IF($B13="","",N(EI13)+N(FO13)-N(FP13))</f>
        <v/>
      </c>
    </row>
    <row r="14">
      <c r="A14" s="701" t="inlineStr">
        <is>
          <t>รวมเงินฝาก (บาท)</t>
        </is>
      </c>
      <c r="B14" s="184" t="n"/>
      <c r="C14" s="184" t="n"/>
      <c r="D14" s="702">
        <f>IF(D$4&lt;&gt;1,"",SUM(D9:D13))</f>
        <v/>
      </c>
      <c r="E14" s="703">
        <f>IF(E$4&lt;&gt;1,"",SUM(E9:E13))</f>
        <v/>
      </c>
      <c r="F14" s="703">
        <f>IF(F$4&lt;&gt;1,"",SUM(F9:F13))</f>
        <v/>
      </c>
      <c r="G14" s="703">
        <f>IF(G$4&lt;&gt;1,"",SUM(G9:G13))</f>
        <v/>
      </c>
      <c r="H14" s="703">
        <f>IF(H$4&lt;&gt;1,"",SUM(H9:H13))</f>
        <v/>
      </c>
      <c r="I14" s="703">
        <f>IF(I$4&lt;&gt;1,"",SUM(I9:I13))</f>
        <v/>
      </c>
      <c r="J14" s="703">
        <f>IF(J$4&lt;&gt;1,"",SUM(J9:J13))</f>
        <v/>
      </c>
      <c r="K14" s="703">
        <f>IF(K$4&lt;&gt;1,"",SUM(K9:K13))</f>
        <v/>
      </c>
      <c r="L14" s="703">
        <f>IF(L$4&lt;&gt;1,"",SUM(L9:L13))</f>
        <v/>
      </c>
      <c r="M14" s="703">
        <f>IF(M$4&lt;&gt;1,"",SUM(M9:M13))</f>
        <v/>
      </c>
      <c r="N14" s="703">
        <f>IF(N$4&lt;&gt;1,"",SUM(N9:N13))</f>
        <v/>
      </c>
      <c r="O14" s="703">
        <f>IF(O$4&lt;&gt;1,"",SUM(O9:O13))</f>
        <v/>
      </c>
      <c r="P14" s="703">
        <f>IF(P$4&lt;&gt;1,"",SUM(P9:P13))</f>
        <v/>
      </c>
      <c r="Q14" s="703">
        <f>IF(Q$4&lt;&gt;1,"",SUM(Q9:Q13))</f>
        <v/>
      </c>
      <c r="R14" s="703">
        <f>IF(R$4&lt;&gt;1,"",SUM(R9:R13))</f>
        <v/>
      </c>
      <c r="S14" s="703">
        <f>IF(S$4&lt;&gt;1,"",SUM(S9:S13))</f>
        <v/>
      </c>
      <c r="T14" s="703">
        <f>IF(T$4&lt;&gt;1,"",SUM(T9:T13))</f>
        <v/>
      </c>
      <c r="U14" s="703">
        <f>IF(U$4&lt;&gt;1,"",SUM(U9:U13))</f>
        <v/>
      </c>
      <c r="V14" s="703">
        <f>IF(V$4&lt;&gt;1,"",SUM(V9:V13))</f>
        <v/>
      </c>
      <c r="W14" s="703">
        <f>IF(W$4&lt;&gt;1,"",SUM(W9:W13))</f>
        <v/>
      </c>
      <c r="X14" s="703">
        <f>IF(X$4&lt;&gt;1,"",SUM(X9:X13))</f>
        <v/>
      </c>
      <c r="Y14" s="703">
        <f>IF(Y$4&lt;&gt;1,"",SUM(Y9:Y13))</f>
        <v/>
      </c>
      <c r="Z14" s="703">
        <f>IF(Z$4&lt;&gt;1,"",SUM(Z9:Z13))</f>
        <v/>
      </c>
      <c r="AA14" s="703">
        <f>IF(AA$4&lt;&gt;1,"",SUM(AA9:AA13))</f>
        <v/>
      </c>
      <c r="AB14" s="703">
        <f>IF(AB$4&lt;&gt;1,"",SUM(AB9:AB13))</f>
        <v/>
      </c>
      <c r="AC14" s="703">
        <f>IF(AC$4&lt;&gt;1,"",SUM(AC9:AC13))</f>
        <v/>
      </c>
      <c r="AD14" s="703">
        <f>IF(AD$4&lt;&gt;1,"",SUM(AD9:AD13))</f>
        <v/>
      </c>
      <c r="AE14" s="703">
        <f>IF(AE$4&lt;&gt;1,"",SUM(AE9:AE13))</f>
        <v/>
      </c>
      <c r="AF14" s="703">
        <f>IF(AF$4&lt;&gt;1,"",SUM(AF9:AF13))</f>
        <v/>
      </c>
      <c r="AG14" s="703">
        <f>IF(AG$4&lt;&gt;1,"",SUM(AG9:AG13))</f>
        <v/>
      </c>
      <c r="AH14" s="703">
        <f>IF(AH$4&lt;&gt;1,"",SUM(AH9:AH13))</f>
        <v/>
      </c>
      <c r="AI14" s="704">
        <f>SUM(AI9:AI13)</f>
        <v/>
      </c>
      <c r="AJ14" s="705">
        <f>SUM(AJ9:AJ13)</f>
        <v/>
      </c>
      <c r="AK14" s="706">
        <f>SUM(AK9:AK13)</f>
        <v/>
      </c>
      <c r="AL14" s="702">
        <f>IF(AL$4&lt;&gt;1,"",SUM(AL9:AL13))</f>
        <v/>
      </c>
      <c r="AM14" s="703">
        <f>IF(AM$4&lt;&gt;1,"",SUM(AM9:AM13))</f>
        <v/>
      </c>
      <c r="AN14" s="703">
        <f>IF(AN$4&lt;&gt;1,"",SUM(AN9:AN13))</f>
        <v/>
      </c>
      <c r="AO14" s="703">
        <f>IF(AO$4&lt;&gt;1,"",SUM(AO9:AO13))</f>
        <v/>
      </c>
      <c r="AP14" s="703">
        <f>IF(AP$4&lt;&gt;1,"",SUM(AP9:AP13))</f>
        <v/>
      </c>
      <c r="AQ14" s="703">
        <f>IF(AQ$4&lt;&gt;1,"",SUM(AQ9:AQ13))</f>
        <v/>
      </c>
      <c r="AR14" s="703">
        <f>IF(AR$4&lt;&gt;1,"",SUM(AR9:AR13))</f>
        <v/>
      </c>
      <c r="AS14" s="703">
        <f>IF(AS$4&lt;&gt;1,"",SUM(AS9:AS13))</f>
        <v/>
      </c>
      <c r="AT14" s="703">
        <f>IF(AT$4&lt;&gt;1,"",SUM(AT9:AT13))</f>
        <v/>
      </c>
      <c r="AU14" s="703">
        <f>IF(AU$4&lt;&gt;1,"",SUM(AU9:AU13))</f>
        <v/>
      </c>
      <c r="AV14" s="703">
        <f>IF(AV$4&lt;&gt;1,"",SUM(AV9:AV13))</f>
        <v/>
      </c>
      <c r="AW14" s="703">
        <f>IF(AW$4&lt;&gt;1,"",SUM(AW9:AW13))</f>
        <v/>
      </c>
      <c r="AX14" s="703">
        <f>IF(AX$4&lt;&gt;1,"",SUM(AX9:AX13))</f>
        <v/>
      </c>
      <c r="AY14" s="703">
        <f>IF(AY$4&lt;&gt;1,"",SUM(AY9:AY13))</f>
        <v/>
      </c>
      <c r="AZ14" s="703">
        <f>IF(AZ$4&lt;&gt;1,"",SUM(AZ9:AZ13))</f>
        <v/>
      </c>
      <c r="BA14" s="703">
        <f>IF(BA$4&lt;&gt;1,"",SUM(BA9:BA13))</f>
        <v/>
      </c>
      <c r="BB14" s="703">
        <f>IF(BB$4&lt;&gt;1,"",SUM(BB9:BB13))</f>
        <v/>
      </c>
      <c r="BC14" s="703">
        <f>IF(BC$4&lt;&gt;1,"",SUM(BC9:BC13))</f>
        <v/>
      </c>
      <c r="BD14" s="703">
        <f>IF(BD$4&lt;&gt;1,"",SUM(BD9:BD13))</f>
        <v/>
      </c>
      <c r="BE14" s="703">
        <f>IF(BE$4&lt;&gt;1,"",SUM(BE9:BE13))</f>
        <v/>
      </c>
      <c r="BF14" s="703">
        <f>IF(BF$4&lt;&gt;1,"",SUM(BF9:BF13))</f>
        <v/>
      </c>
      <c r="BG14" s="703">
        <f>IF(BG$4&lt;&gt;1,"",SUM(BG9:BG13))</f>
        <v/>
      </c>
      <c r="BH14" s="703">
        <f>IF(BH$4&lt;&gt;1,"",SUM(BH9:BH13))</f>
        <v/>
      </c>
      <c r="BI14" s="703">
        <f>IF(BI$4&lt;&gt;1,"",SUM(BI9:BI13))</f>
        <v/>
      </c>
      <c r="BJ14" s="703">
        <f>IF(BJ$4&lt;&gt;1,"",SUM(BJ9:BJ13))</f>
        <v/>
      </c>
      <c r="BK14" s="703">
        <f>IF(BK$4&lt;&gt;1,"",SUM(BK9:BK13))</f>
        <v/>
      </c>
      <c r="BL14" s="703">
        <f>IF(BL$4&lt;&gt;1,"",SUM(BL9:BL13))</f>
        <v/>
      </c>
      <c r="BM14" s="703">
        <f>IF(BM$4&lt;&gt;1,"",SUM(BM9:BM13))</f>
        <v/>
      </c>
      <c r="BN14" s="703">
        <f>IF(BN$4&lt;&gt;1,"",SUM(BN9:BN13))</f>
        <v/>
      </c>
      <c r="BO14" s="703">
        <f>IF(BO$4&lt;&gt;1,"",SUM(BO9:BO13))</f>
        <v/>
      </c>
      <c r="BP14" s="703">
        <f>IF(BP$4&lt;&gt;1,"",SUM(BP9:BP13))</f>
        <v/>
      </c>
      <c r="BQ14" s="704">
        <f>SUM(BQ9:BQ13)</f>
        <v/>
      </c>
      <c r="BR14" s="705">
        <f>SUM(BR9:BR13)</f>
        <v/>
      </c>
      <c r="BS14" s="706">
        <f>SUM(BS9:BS13)</f>
        <v/>
      </c>
      <c r="BT14" s="702">
        <f>IF(BT$4&lt;&gt;1,"",SUM(BT9:BT13))</f>
        <v/>
      </c>
      <c r="BU14" s="703">
        <f>IF(BU$4&lt;&gt;1,"",SUM(BU9:BU13))</f>
        <v/>
      </c>
      <c r="BV14" s="703">
        <f>IF(BV$4&lt;&gt;1,"",SUM(BV9:BV13))</f>
        <v/>
      </c>
      <c r="BW14" s="703">
        <f>IF(BW$4&lt;&gt;1,"",SUM(BW9:BW13))</f>
        <v/>
      </c>
      <c r="BX14" s="703">
        <f>IF(BX$4&lt;&gt;1,"",SUM(BX9:BX13))</f>
        <v/>
      </c>
      <c r="BY14" s="703">
        <f>IF(BY$4&lt;&gt;1,"",SUM(BY9:BY13))</f>
        <v/>
      </c>
      <c r="BZ14" s="703">
        <f>IF(BZ$4&lt;&gt;1,"",SUM(BZ9:BZ13))</f>
        <v/>
      </c>
      <c r="CA14" s="703">
        <f>IF(CA$4&lt;&gt;1,"",SUM(CA9:CA13))</f>
        <v/>
      </c>
      <c r="CB14" s="703">
        <f>IF(CB$4&lt;&gt;1,"",SUM(CB9:CB13))</f>
        <v/>
      </c>
      <c r="CC14" s="703">
        <f>IF(CC$4&lt;&gt;1,"",SUM(CC9:CC13))</f>
        <v/>
      </c>
      <c r="CD14" s="703">
        <f>IF(CD$4&lt;&gt;1,"",SUM(CD9:CD13))</f>
        <v/>
      </c>
      <c r="CE14" s="703">
        <f>IF(CE$4&lt;&gt;1,"",SUM(CE9:CE13))</f>
        <v/>
      </c>
      <c r="CF14" s="703">
        <f>IF(CF$4&lt;&gt;1,"",SUM(CF9:CF13))</f>
        <v/>
      </c>
      <c r="CG14" s="703">
        <f>IF(CG$4&lt;&gt;1,"",SUM(CG9:CG13))</f>
        <v/>
      </c>
      <c r="CH14" s="703">
        <f>IF(CH$4&lt;&gt;1,"",SUM(CH9:CH13))</f>
        <v/>
      </c>
      <c r="CI14" s="703">
        <f>IF(CI$4&lt;&gt;1,"",SUM(CI9:CI13))</f>
        <v/>
      </c>
      <c r="CJ14" s="703">
        <f>IF(CJ$4&lt;&gt;1,"",SUM(CJ9:CJ13))</f>
        <v/>
      </c>
      <c r="CK14" s="703">
        <f>IF(CK$4&lt;&gt;1,"",SUM(CK9:CK13))</f>
        <v/>
      </c>
      <c r="CL14" s="703">
        <f>IF(CL$4&lt;&gt;1,"",SUM(CL9:CL13))</f>
        <v/>
      </c>
      <c r="CM14" s="703">
        <f>IF(CM$4&lt;&gt;1,"",SUM(CM9:CM13))</f>
        <v/>
      </c>
      <c r="CN14" s="703">
        <f>IF(CN$4&lt;&gt;1,"",SUM(CN9:CN13))</f>
        <v/>
      </c>
      <c r="CO14" s="703">
        <f>IF(CO$4&lt;&gt;1,"",SUM(CO9:CO13))</f>
        <v/>
      </c>
      <c r="CP14" s="703">
        <f>IF(CP$4&lt;&gt;1,"",SUM(CP9:CP13))</f>
        <v/>
      </c>
      <c r="CQ14" s="703">
        <f>IF(CQ$4&lt;&gt;1,"",SUM(CQ9:CQ13))</f>
        <v/>
      </c>
      <c r="CR14" s="703">
        <f>IF(CR$4&lt;&gt;1,"",SUM(CR9:CR13))</f>
        <v/>
      </c>
      <c r="CS14" s="703">
        <f>IF(CS$4&lt;&gt;1,"",SUM(CS9:CS13))</f>
        <v/>
      </c>
      <c r="CT14" s="703">
        <f>IF(CT$4&lt;&gt;1,"",SUM(CT9:CT13))</f>
        <v/>
      </c>
      <c r="CU14" s="703">
        <f>IF(CU$4&lt;&gt;1,"",SUM(CU9:CU13))</f>
        <v/>
      </c>
      <c r="CV14" s="703">
        <f>IF(CV$4&lt;&gt;1,"",SUM(CV9:CV13))</f>
        <v/>
      </c>
      <c r="CW14" s="703">
        <f>IF(CW$4&lt;&gt;1,"",SUM(CW9:CW13))</f>
        <v/>
      </c>
      <c r="CX14" s="703">
        <f>IF(CX$4&lt;&gt;1,"",SUM(CX9:CX13))</f>
        <v/>
      </c>
      <c r="CY14" s="704">
        <f>SUM(CY9:CY13)</f>
        <v/>
      </c>
      <c r="CZ14" s="705">
        <f>SUM(CZ9:CZ13)</f>
        <v/>
      </c>
      <c r="DA14" s="706">
        <f>SUM(DA9:DA13)</f>
        <v/>
      </c>
      <c r="DB14" s="702">
        <f>IF(DB$4&lt;&gt;1,"",SUM(DB9:DB13))</f>
        <v/>
      </c>
      <c r="DC14" s="703">
        <f>IF(DC$4&lt;&gt;1,"",SUM(DC9:DC13))</f>
        <v/>
      </c>
      <c r="DD14" s="703">
        <f>IF(DD$4&lt;&gt;1,"",SUM(DD9:DD13))</f>
        <v/>
      </c>
      <c r="DE14" s="703">
        <f>IF(DE$4&lt;&gt;1,"",SUM(DE9:DE13))</f>
        <v/>
      </c>
      <c r="DF14" s="703">
        <f>IF(DF$4&lt;&gt;1,"",SUM(DF9:DF13))</f>
        <v/>
      </c>
      <c r="DG14" s="703">
        <f>IF(DG$4&lt;&gt;1,"",SUM(DG9:DG13))</f>
        <v/>
      </c>
      <c r="DH14" s="703">
        <f>IF(DH$4&lt;&gt;1,"",SUM(DH9:DH13))</f>
        <v/>
      </c>
      <c r="DI14" s="703">
        <f>IF(DI$4&lt;&gt;1,"",SUM(DI9:DI13))</f>
        <v/>
      </c>
      <c r="DJ14" s="703">
        <f>IF(DJ$4&lt;&gt;1,"",SUM(DJ9:DJ13))</f>
        <v/>
      </c>
      <c r="DK14" s="703">
        <f>IF(DK$4&lt;&gt;1,"",SUM(DK9:DK13))</f>
        <v/>
      </c>
      <c r="DL14" s="703">
        <f>IF(DL$4&lt;&gt;1,"",SUM(DL9:DL13))</f>
        <v/>
      </c>
      <c r="DM14" s="703">
        <f>IF(DM$4&lt;&gt;1,"",SUM(DM9:DM13))</f>
        <v/>
      </c>
      <c r="DN14" s="703">
        <f>IF(DN$4&lt;&gt;1,"",SUM(DN9:DN13))</f>
        <v/>
      </c>
      <c r="DO14" s="703">
        <f>IF(DO$4&lt;&gt;1,"",SUM(DO9:DO13))</f>
        <v/>
      </c>
      <c r="DP14" s="703">
        <f>IF(DP$4&lt;&gt;1,"",SUM(DP9:DP13))</f>
        <v/>
      </c>
      <c r="DQ14" s="703">
        <f>IF(DQ$4&lt;&gt;1,"",SUM(DQ9:DQ13))</f>
        <v/>
      </c>
      <c r="DR14" s="703">
        <f>IF(DR$4&lt;&gt;1,"",SUM(DR9:DR13))</f>
        <v/>
      </c>
      <c r="DS14" s="703">
        <f>IF(DS$4&lt;&gt;1,"",SUM(DS9:DS13))</f>
        <v/>
      </c>
      <c r="DT14" s="703">
        <f>IF(DT$4&lt;&gt;1,"",SUM(DT9:DT13))</f>
        <v/>
      </c>
      <c r="DU14" s="703">
        <f>IF(DU$4&lt;&gt;1,"",SUM(DU9:DU13))</f>
        <v/>
      </c>
      <c r="DV14" s="703">
        <f>IF(DV$4&lt;&gt;1,"",SUM(DV9:DV13))</f>
        <v/>
      </c>
      <c r="DW14" s="703">
        <f>IF(DW$4&lt;&gt;1,"",SUM(DW9:DW13))</f>
        <v/>
      </c>
      <c r="DX14" s="703">
        <f>IF(DX$4&lt;&gt;1,"",SUM(DX9:DX13))</f>
        <v/>
      </c>
      <c r="DY14" s="703">
        <f>IF(DY$4&lt;&gt;1,"",SUM(DY9:DY13))</f>
        <v/>
      </c>
      <c r="DZ14" s="703">
        <f>IF(DZ$4&lt;&gt;1,"",SUM(DZ9:DZ13))</f>
        <v/>
      </c>
      <c r="EA14" s="703">
        <f>IF(EA$4&lt;&gt;1,"",SUM(EA9:EA13))</f>
        <v/>
      </c>
      <c r="EB14" s="703">
        <f>IF(EB$4&lt;&gt;1,"",SUM(EB9:EB13))</f>
        <v/>
      </c>
      <c r="EC14" s="703">
        <f>IF(EC$4&lt;&gt;1,"",SUM(EC9:EC13))</f>
        <v/>
      </c>
      <c r="ED14" s="703">
        <f>IF(ED$4&lt;&gt;1,"",SUM(ED9:ED13))</f>
        <v/>
      </c>
      <c r="EE14" s="703">
        <f>IF(EE$4&lt;&gt;1,"",SUM(EE9:EE13))</f>
        <v/>
      </c>
      <c r="EF14" s="703">
        <f>IF(EF$4&lt;&gt;1,"",SUM(EF9:EF13))</f>
        <v/>
      </c>
      <c r="EG14" s="704">
        <f>SUM(EG9:EG13)</f>
        <v/>
      </c>
      <c r="EH14" s="705">
        <f>SUM(EH9:EH13)</f>
        <v/>
      </c>
      <c r="EI14" s="706">
        <f>SUM(EI9:EI13)</f>
        <v/>
      </c>
      <c r="EJ14" s="702">
        <f>IF(EJ$4&lt;&gt;1,"",SUM(EJ9:EJ13))</f>
        <v/>
      </c>
      <c r="EK14" s="703">
        <f>IF(EK$4&lt;&gt;1,"",SUM(EK9:EK13))</f>
        <v/>
      </c>
      <c r="EL14" s="703">
        <f>IF(EL$4&lt;&gt;1,"",SUM(EL9:EL13))</f>
        <v/>
      </c>
      <c r="EM14" s="703">
        <f>IF(EM$4&lt;&gt;1,"",SUM(EM9:EM13))</f>
        <v/>
      </c>
      <c r="EN14" s="703">
        <f>IF(EN$4&lt;&gt;1,"",SUM(EN9:EN13))</f>
        <v/>
      </c>
      <c r="EO14" s="703">
        <f>IF(EO$4&lt;&gt;1,"",SUM(EO9:EO13))</f>
        <v/>
      </c>
      <c r="EP14" s="703">
        <f>IF(EP$4&lt;&gt;1,"",SUM(EP9:EP13))</f>
        <v/>
      </c>
      <c r="EQ14" s="703">
        <f>IF(EQ$4&lt;&gt;1,"",SUM(EQ9:EQ13))</f>
        <v/>
      </c>
      <c r="ER14" s="703">
        <f>IF(ER$4&lt;&gt;1,"",SUM(ER9:ER13))</f>
        <v/>
      </c>
      <c r="ES14" s="703">
        <f>IF(ES$4&lt;&gt;1,"",SUM(ES9:ES13))</f>
        <v/>
      </c>
      <c r="ET14" s="703">
        <f>IF(ET$4&lt;&gt;1,"",SUM(ET9:ET13))</f>
        <v/>
      </c>
      <c r="EU14" s="703">
        <f>IF(EU$4&lt;&gt;1,"",SUM(EU9:EU13))</f>
        <v/>
      </c>
      <c r="EV14" s="703">
        <f>IF(EV$4&lt;&gt;1,"",SUM(EV9:EV13))</f>
        <v/>
      </c>
      <c r="EW14" s="703">
        <f>IF(EW$4&lt;&gt;1,"",SUM(EW9:EW13))</f>
        <v/>
      </c>
      <c r="EX14" s="703">
        <f>IF(EX$4&lt;&gt;1,"",SUM(EX9:EX13))</f>
        <v/>
      </c>
      <c r="EY14" s="703">
        <f>IF(EY$4&lt;&gt;1,"",SUM(EY9:EY13))</f>
        <v/>
      </c>
      <c r="EZ14" s="703">
        <f>IF(EZ$4&lt;&gt;1,"",SUM(EZ9:EZ13))</f>
        <v/>
      </c>
      <c r="FA14" s="703">
        <f>IF(FA$4&lt;&gt;1,"",SUM(FA9:FA13))</f>
        <v/>
      </c>
      <c r="FB14" s="703">
        <f>IF(FB$4&lt;&gt;1,"",SUM(FB9:FB13))</f>
        <v/>
      </c>
      <c r="FC14" s="703">
        <f>IF(FC$4&lt;&gt;1,"",SUM(FC9:FC13))</f>
        <v/>
      </c>
      <c r="FD14" s="703">
        <f>IF(FD$4&lt;&gt;1,"",SUM(FD9:FD13))</f>
        <v/>
      </c>
      <c r="FE14" s="703">
        <f>IF(FE$4&lt;&gt;1,"",SUM(FE9:FE13))</f>
        <v/>
      </c>
      <c r="FF14" s="703">
        <f>IF(FF$4&lt;&gt;1,"",SUM(FF9:FF13))</f>
        <v/>
      </c>
      <c r="FG14" s="703">
        <f>IF(FG$4&lt;&gt;1,"",SUM(FG9:FG13))</f>
        <v/>
      </c>
      <c r="FH14" s="703">
        <f>IF(FH$4&lt;&gt;1,"",SUM(FH9:FH13))</f>
        <v/>
      </c>
      <c r="FI14" s="703">
        <f>IF(FI$4&lt;&gt;1,"",SUM(FI9:FI13))</f>
        <v/>
      </c>
      <c r="FJ14" s="703">
        <f>IF(FJ$4&lt;&gt;1,"",SUM(FJ9:FJ13))</f>
        <v/>
      </c>
      <c r="FK14" s="703">
        <f>IF(FK$4&lt;&gt;1,"",SUM(FK9:FK13))</f>
        <v/>
      </c>
      <c r="FL14" s="703">
        <f>IF(FL$4&lt;&gt;1,"",SUM(FL9:FL13))</f>
        <v/>
      </c>
      <c r="FM14" s="703">
        <f>IF(FM$4&lt;&gt;1,"",SUM(FM9:FM13))</f>
        <v/>
      </c>
      <c r="FN14" s="703">
        <f>IF(FN$4&lt;&gt;1,"",SUM(FN9:FN13))</f>
        <v/>
      </c>
      <c r="FO14" s="704">
        <f>SUM(FO9:FO13)</f>
        <v/>
      </c>
      <c r="FP14" s="705">
        <f>SUM(FP9:FP13)</f>
        <v/>
      </c>
      <c r="FQ14" s="706">
        <f>SUM(FQ9:FQ13)</f>
        <v/>
      </c>
    </row>
    <row r="15">
      <c r="A15" s="701" t="inlineStr">
        <is>
          <t>ฝาก (คน)</t>
        </is>
      </c>
      <c r="B15" s="184" t="n"/>
      <c r="C15" s="184" t="n"/>
      <c r="D15" s="702">
        <f>IF(D$4&lt;&gt;1,"",COUNTIF(D9:D13,"&gt;0"))</f>
        <v/>
      </c>
      <c r="E15" s="703">
        <f>IF(E$4&lt;&gt;1,"",COUNTIF(E9:E13,"&gt;0"))</f>
        <v/>
      </c>
      <c r="F15" s="703">
        <f>IF(F$4&lt;&gt;1,"",COUNTIF(F9:F13,"&gt;0"))</f>
        <v/>
      </c>
      <c r="G15" s="703">
        <f>IF(G$4&lt;&gt;1,"",COUNTIF(G9:G13,"&gt;0"))</f>
        <v/>
      </c>
      <c r="H15" s="703">
        <f>IF(H$4&lt;&gt;1,"",COUNTIF(H9:H13,"&gt;0"))</f>
        <v/>
      </c>
      <c r="I15" s="703">
        <f>IF(I$4&lt;&gt;1,"",COUNTIF(I9:I13,"&gt;0"))</f>
        <v/>
      </c>
      <c r="J15" s="703">
        <f>IF(J$4&lt;&gt;1,"",COUNTIF(J9:J13,"&gt;0"))</f>
        <v/>
      </c>
      <c r="K15" s="703">
        <f>IF(K$4&lt;&gt;1,"",COUNTIF(K9:K13,"&gt;0"))</f>
        <v/>
      </c>
      <c r="L15" s="703">
        <f>IF(L$4&lt;&gt;1,"",COUNTIF(L9:L13,"&gt;0"))</f>
        <v/>
      </c>
      <c r="M15" s="703">
        <f>IF(M$4&lt;&gt;1,"",COUNTIF(M9:M13,"&gt;0"))</f>
        <v/>
      </c>
      <c r="N15" s="703">
        <f>IF(N$4&lt;&gt;1,"",COUNTIF(N9:N13,"&gt;0"))</f>
        <v/>
      </c>
      <c r="O15" s="703">
        <f>IF(O$4&lt;&gt;1,"",COUNTIF(O9:O13,"&gt;0"))</f>
        <v/>
      </c>
      <c r="P15" s="703">
        <f>IF(P$4&lt;&gt;1,"",COUNTIF(P9:P13,"&gt;0"))</f>
        <v/>
      </c>
      <c r="Q15" s="703">
        <f>IF(Q$4&lt;&gt;1,"",COUNTIF(Q9:Q13,"&gt;0"))</f>
        <v/>
      </c>
      <c r="R15" s="703">
        <f>IF(R$4&lt;&gt;1,"",COUNTIF(R9:R13,"&gt;0"))</f>
        <v/>
      </c>
      <c r="S15" s="703">
        <f>IF(S$4&lt;&gt;1,"",COUNTIF(S9:S13,"&gt;0"))</f>
        <v/>
      </c>
      <c r="T15" s="703">
        <f>IF(T$4&lt;&gt;1,"",COUNTIF(T9:T13,"&gt;0"))</f>
        <v/>
      </c>
      <c r="U15" s="703">
        <f>IF(U$4&lt;&gt;1,"",COUNTIF(U9:U13,"&gt;0"))</f>
        <v/>
      </c>
      <c r="V15" s="703">
        <f>IF(V$4&lt;&gt;1,"",COUNTIF(V9:V13,"&gt;0"))</f>
        <v/>
      </c>
      <c r="W15" s="703">
        <f>IF(W$4&lt;&gt;1,"",COUNTIF(W9:W13,"&gt;0"))</f>
        <v/>
      </c>
      <c r="X15" s="703">
        <f>IF(X$4&lt;&gt;1,"",COUNTIF(X9:X13,"&gt;0"))</f>
        <v/>
      </c>
      <c r="Y15" s="703">
        <f>IF(Y$4&lt;&gt;1,"",COUNTIF(Y9:Y13,"&gt;0"))</f>
        <v/>
      </c>
      <c r="Z15" s="703">
        <f>IF(Z$4&lt;&gt;1,"",COUNTIF(Z9:Z13,"&gt;0"))</f>
        <v/>
      </c>
      <c r="AA15" s="703">
        <f>IF(AA$4&lt;&gt;1,"",COUNTIF(AA9:AA13,"&gt;0"))</f>
        <v/>
      </c>
      <c r="AB15" s="703">
        <f>IF(AB$4&lt;&gt;1,"",COUNTIF(AB9:AB13,"&gt;0"))</f>
        <v/>
      </c>
      <c r="AC15" s="703">
        <f>IF(AC$4&lt;&gt;1,"",COUNTIF(AC9:AC13,"&gt;0"))</f>
        <v/>
      </c>
      <c r="AD15" s="703">
        <f>IF(AD$4&lt;&gt;1,"",COUNTIF(AD9:AD13,"&gt;0"))</f>
        <v/>
      </c>
      <c r="AE15" s="703">
        <f>IF(AE$4&lt;&gt;1,"",COUNTIF(AE9:AE13,"&gt;0"))</f>
        <v/>
      </c>
      <c r="AF15" s="703">
        <f>IF(AF$4&lt;&gt;1,"",COUNTIF(AF9:AF13,"&gt;0"))</f>
        <v/>
      </c>
      <c r="AG15" s="703">
        <f>IF(AG$4&lt;&gt;1,"",COUNTIF(AG9:AG13,"&gt;0"))</f>
        <v/>
      </c>
      <c r="AH15" s="703">
        <f>IF(AH$4&lt;&gt;1,"",COUNTIF(AH9:AH13,"&gt;0"))</f>
        <v/>
      </c>
      <c r="AI15" s="704" t="n"/>
      <c r="AJ15" s="705" t="n"/>
      <c r="AK15" s="706" t="n"/>
      <c r="AL15" s="702">
        <f>IF(AL$4&lt;&gt;1,"",COUNTIF(AL9:AL13,"&gt;0"))</f>
        <v/>
      </c>
      <c r="AM15" s="703">
        <f>IF(AM$4&lt;&gt;1,"",COUNTIF(AM9:AM13,"&gt;0"))</f>
        <v/>
      </c>
      <c r="AN15" s="703">
        <f>IF(AN$4&lt;&gt;1,"",COUNTIF(AN9:AN13,"&gt;0"))</f>
        <v/>
      </c>
      <c r="AO15" s="703">
        <f>IF(AO$4&lt;&gt;1,"",COUNTIF(AO9:AO13,"&gt;0"))</f>
        <v/>
      </c>
      <c r="AP15" s="703">
        <f>IF(AP$4&lt;&gt;1,"",COUNTIF(AP9:AP13,"&gt;0"))</f>
        <v/>
      </c>
      <c r="AQ15" s="703">
        <f>IF(AQ$4&lt;&gt;1,"",COUNTIF(AQ9:AQ13,"&gt;0"))</f>
        <v/>
      </c>
      <c r="AR15" s="703">
        <f>IF(AR$4&lt;&gt;1,"",COUNTIF(AR9:AR13,"&gt;0"))</f>
        <v/>
      </c>
      <c r="AS15" s="703">
        <f>IF(AS$4&lt;&gt;1,"",COUNTIF(AS9:AS13,"&gt;0"))</f>
        <v/>
      </c>
      <c r="AT15" s="703">
        <f>IF(AT$4&lt;&gt;1,"",COUNTIF(AT9:AT13,"&gt;0"))</f>
        <v/>
      </c>
      <c r="AU15" s="703">
        <f>IF(AU$4&lt;&gt;1,"",COUNTIF(AU9:AU13,"&gt;0"))</f>
        <v/>
      </c>
      <c r="AV15" s="703">
        <f>IF(AV$4&lt;&gt;1,"",COUNTIF(AV9:AV13,"&gt;0"))</f>
        <v/>
      </c>
      <c r="AW15" s="703">
        <f>IF(AW$4&lt;&gt;1,"",COUNTIF(AW9:AW13,"&gt;0"))</f>
        <v/>
      </c>
      <c r="AX15" s="703">
        <f>IF(AX$4&lt;&gt;1,"",COUNTIF(AX9:AX13,"&gt;0"))</f>
        <v/>
      </c>
      <c r="AY15" s="703">
        <f>IF(AY$4&lt;&gt;1,"",COUNTIF(AY9:AY13,"&gt;0"))</f>
        <v/>
      </c>
      <c r="AZ15" s="703">
        <f>IF(AZ$4&lt;&gt;1,"",COUNTIF(AZ9:AZ13,"&gt;0"))</f>
        <v/>
      </c>
      <c r="BA15" s="703">
        <f>IF(BA$4&lt;&gt;1,"",COUNTIF(BA9:BA13,"&gt;0"))</f>
        <v/>
      </c>
      <c r="BB15" s="703">
        <f>IF(BB$4&lt;&gt;1,"",COUNTIF(BB9:BB13,"&gt;0"))</f>
        <v/>
      </c>
      <c r="BC15" s="703">
        <f>IF(BC$4&lt;&gt;1,"",COUNTIF(BC9:BC13,"&gt;0"))</f>
        <v/>
      </c>
      <c r="BD15" s="703">
        <f>IF(BD$4&lt;&gt;1,"",COUNTIF(BD9:BD13,"&gt;0"))</f>
        <v/>
      </c>
      <c r="BE15" s="703">
        <f>IF(BE$4&lt;&gt;1,"",COUNTIF(BE9:BE13,"&gt;0"))</f>
        <v/>
      </c>
      <c r="BF15" s="703">
        <f>IF(BF$4&lt;&gt;1,"",COUNTIF(BF9:BF13,"&gt;0"))</f>
        <v/>
      </c>
      <c r="BG15" s="703">
        <f>IF(BG$4&lt;&gt;1,"",COUNTIF(BG9:BG13,"&gt;0"))</f>
        <v/>
      </c>
      <c r="BH15" s="703">
        <f>IF(BH$4&lt;&gt;1,"",COUNTIF(BH9:BH13,"&gt;0"))</f>
        <v/>
      </c>
      <c r="BI15" s="703">
        <f>IF(BI$4&lt;&gt;1,"",COUNTIF(BI9:BI13,"&gt;0"))</f>
        <v/>
      </c>
      <c r="BJ15" s="703">
        <f>IF(BJ$4&lt;&gt;1,"",COUNTIF(BJ9:BJ13,"&gt;0"))</f>
        <v/>
      </c>
      <c r="BK15" s="703">
        <f>IF(BK$4&lt;&gt;1,"",COUNTIF(BK9:BK13,"&gt;0"))</f>
        <v/>
      </c>
      <c r="BL15" s="703">
        <f>IF(BL$4&lt;&gt;1,"",COUNTIF(BL9:BL13,"&gt;0"))</f>
        <v/>
      </c>
      <c r="BM15" s="703">
        <f>IF(BM$4&lt;&gt;1,"",COUNTIF(BM9:BM13,"&gt;0"))</f>
        <v/>
      </c>
      <c r="BN15" s="703">
        <f>IF(BN$4&lt;&gt;1,"",COUNTIF(BN9:BN13,"&gt;0"))</f>
        <v/>
      </c>
      <c r="BO15" s="703">
        <f>IF(BO$4&lt;&gt;1,"",COUNTIF(BO9:BO13,"&gt;0"))</f>
        <v/>
      </c>
      <c r="BP15" s="703">
        <f>IF(BP$4&lt;&gt;1,"",COUNTIF(BP9:BP13,"&gt;0"))</f>
        <v/>
      </c>
      <c r="BQ15" s="704" t="n"/>
      <c r="BR15" s="705" t="n"/>
      <c r="BS15" s="706" t="n"/>
      <c r="BT15" s="702">
        <f>IF(BT$4&lt;&gt;1,"",COUNTIF(BT9:BT13,"&gt;0"))</f>
        <v/>
      </c>
      <c r="BU15" s="703">
        <f>IF(BU$4&lt;&gt;1,"",COUNTIF(BU9:BU13,"&gt;0"))</f>
        <v/>
      </c>
      <c r="BV15" s="703">
        <f>IF(BV$4&lt;&gt;1,"",COUNTIF(BV9:BV13,"&gt;0"))</f>
        <v/>
      </c>
      <c r="BW15" s="703">
        <f>IF(BW$4&lt;&gt;1,"",COUNTIF(BW9:BW13,"&gt;0"))</f>
        <v/>
      </c>
      <c r="BX15" s="703">
        <f>IF(BX$4&lt;&gt;1,"",COUNTIF(BX9:BX13,"&gt;0"))</f>
        <v/>
      </c>
      <c r="BY15" s="703">
        <f>IF(BY$4&lt;&gt;1,"",COUNTIF(BY9:BY13,"&gt;0"))</f>
        <v/>
      </c>
      <c r="BZ15" s="703">
        <f>IF(BZ$4&lt;&gt;1,"",COUNTIF(BZ9:BZ13,"&gt;0"))</f>
        <v/>
      </c>
      <c r="CA15" s="703">
        <f>IF(CA$4&lt;&gt;1,"",COUNTIF(CA9:CA13,"&gt;0"))</f>
        <v/>
      </c>
      <c r="CB15" s="703">
        <f>IF(CB$4&lt;&gt;1,"",COUNTIF(CB9:CB13,"&gt;0"))</f>
        <v/>
      </c>
      <c r="CC15" s="703">
        <f>IF(CC$4&lt;&gt;1,"",COUNTIF(CC9:CC13,"&gt;0"))</f>
        <v/>
      </c>
      <c r="CD15" s="703">
        <f>IF(CD$4&lt;&gt;1,"",COUNTIF(CD9:CD13,"&gt;0"))</f>
        <v/>
      </c>
      <c r="CE15" s="703">
        <f>IF(CE$4&lt;&gt;1,"",COUNTIF(CE9:CE13,"&gt;0"))</f>
        <v/>
      </c>
      <c r="CF15" s="703">
        <f>IF(CF$4&lt;&gt;1,"",COUNTIF(CF9:CF13,"&gt;0"))</f>
        <v/>
      </c>
      <c r="CG15" s="703">
        <f>IF(CG$4&lt;&gt;1,"",COUNTIF(CG9:CG13,"&gt;0"))</f>
        <v/>
      </c>
      <c r="CH15" s="703">
        <f>IF(CH$4&lt;&gt;1,"",COUNTIF(CH9:CH13,"&gt;0"))</f>
        <v/>
      </c>
      <c r="CI15" s="703">
        <f>IF(CI$4&lt;&gt;1,"",COUNTIF(CI9:CI13,"&gt;0"))</f>
        <v/>
      </c>
      <c r="CJ15" s="703">
        <f>IF(CJ$4&lt;&gt;1,"",COUNTIF(CJ9:CJ13,"&gt;0"))</f>
        <v/>
      </c>
      <c r="CK15" s="703">
        <f>IF(CK$4&lt;&gt;1,"",COUNTIF(CK9:CK13,"&gt;0"))</f>
        <v/>
      </c>
      <c r="CL15" s="703">
        <f>IF(CL$4&lt;&gt;1,"",COUNTIF(CL9:CL13,"&gt;0"))</f>
        <v/>
      </c>
      <c r="CM15" s="703">
        <f>IF(CM$4&lt;&gt;1,"",COUNTIF(CM9:CM13,"&gt;0"))</f>
        <v/>
      </c>
      <c r="CN15" s="703">
        <f>IF(CN$4&lt;&gt;1,"",COUNTIF(CN9:CN13,"&gt;0"))</f>
        <v/>
      </c>
      <c r="CO15" s="703">
        <f>IF(CO$4&lt;&gt;1,"",COUNTIF(CO9:CO13,"&gt;0"))</f>
        <v/>
      </c>
      <c r="CP15" s="703">
        <f>IF(CP$4&lt;&gt;1,"",COUNTIF(CP9:CP13,"&gt;0"))</f>
        <v/>
      </c>
      <c r="CQ15" s="703">
        <f>IF(CQ$4&lt;&gt;1,"",COUNTIF(CQ9:CQ13,"&gt;0"))</f>
        <v/>
      </c>
      <c r="CR15" s="703">
        <f>IF(CR$4&lt;&gt;1,"",COUNTIF(CR9:CR13,"&gt;0"))</f>
        <v/>
      </c>
      <c r="CS15" s="703">
        <f>IF(CS$4&lt;&gt;1,"",COUNTIF(CS9:CS13,"&gt;0"))</f>
        <v/>
      </c>
      <c r="CT15" s="703">
        <f>IF(CT$4&lt;&gt;1,"",COUNTIF(CT9:CT13,"&gt;0"))</f>
        <v/>
      </c>
      <c r="CU15" s="703">
        <f>IF(CU$4&lt;&gt;1,"",COUNTIF(CU9:CU13,"&gt;0"))</f>
        <v/>
      </c>
      <c r="CV15" s="703">
        <f>IF(CV$4&lt;&gt;1,"",COUNTIF(CV9:CV13,"&gt;0"))</f>
        <v/>
      </c>
      <c r="CW15" s="703">
        <f>IF(CW$4&lt;&gt;1,"",COUNTIF(CW9:CW13,"&gt;0"))</f>
        <v/>
      </c>
      <c r="CX15" s="703">
        <f>IF(CX$4&lt;&gt;1,"",COUNTIF(CX9:CX13,"&gt;0"))</f>
        <v/>
      </c>
      <c r="CY15" s="704" t="n"/>
      <c r="CZ15" s="705" t="n"/>
      <c r="DA15" s="706" t="n"/>
      <c r="DB15" s="702">
        <f>IF(DB$4&lt;&gt;1,"",COUNTIF(DB9:DB13,"&gt;0"))</f>
        <v/>
      </c>
      <c r="DC15" s="703">
        <f>IF(DC$4&lt;&gt;1,"",COUNTIF(DC9:DC13,"&gt;0"))</f>
        <v/>
      </c>
      <c r="DD15" s="703">
        <f>IF(DD$4&lt;&gt;1,"",COUNTIF(DD9:DD13,"&gt;0"))</f>
        <v/>
      </c>
      <c r="DE15" s="703">
        <f>IF(DE$4&lt;&gt;1,"",COUNTIF(DE9:DE13,"&gt;0"))</f>
        <v/>
      </c>
      <c r="DF15" s="703">
        <f>IF(DF$4&lt;&gt;1,"",COUNTIF(DF9:DF13,"&gt;0"))</f>
        <v/>
      </c>
      <c r="DG15" s="703">
        <f>IF(DG$4&lt;&gt;1,"",COUNTIF(DG9:DG13,"&gt;0"))</f>
        <v/>
      </c>
      <c r="DH15" s="703">
        <f>IF(DH$4&lt;&gt;1,"",COUNTIF(DH9:DH13,"&gt;0"))</f>
        <v/>
      </c>
      <c r="DI15" s="703">
        <f>IF(DI$4&lt;&gt;1,"",COUNTIF(DI9:DI13,"&gt;0"))</f>
        <v/>
      </c>
      <c r="DJ15" s="703">
        <f>IF(DJ$4&lt;&gt;1,"",COUNTIF(DJ9:DJ13,"&gt;0"))</f>
        <v/>
      </c>
      <c r="DK15" s="703">
        <f>IF(DK$4&lt;&gt;1,"",COUNTIF(DK9:DK13,"&gt;0"))</f>
        <v/>
      </c>
      <c r="DL15" s="703">
        <f>IF(DL$4&lt;&gt;1,"",COUNTIF(DL9:DL13,"&gt;0"))</f>
        <v/>
      </c>
      <c r="DM15" s="703">
        <f>IF(DM$4&lt;&gt;1,"",COUNTIF(DM9:DM13,"&gt;0"))</f>
        <v/>
      </c>
      <c r="DN15" s="703">
        <f>IF(DN$4&lt;&gt;1,"",COUNTIF(DN9:DN13,"&gt;0"))</f>
        <v/>
      </c>
      <c r="DO15" s="703">
        <f>IF(DO$4&lt;&gt;1,"",COUNTIF(DO9:DO13,"&gt;0"))</f>
        <v/>
      </c>
      <c r="DP15" s="703">
        <f>IF(DP$4&lt;&gt;1,"",COUNTIF(DP9:DP13,"&gt;0"))</f>
        <v/>
      </c>
      <c r="DQ15" s="703">
        <f>IF(DQ$4&lt;&gt;1,"",COUNTIF(DQ9:DQ13,"&gt;0"))</f>
        <v/>
      </c>
      <c r="DR15" s="703">
        <f>IF(DR$4&lt;&gt;1,"",COUNTIF(DR9:DR13,"&gt;0"))</f>
        <v/>
      </c>
      <c r="DS15" s="703">
        <f>IF(DS$4&lt;&gt;1,"",COUNTIF(DS9:DS13,"&gt;0"))</f>
        <v/>
      </c>
      <c r="DT15" s="703">
        <f>IF(DT$4&lt;&gt;1,"",COUNTIF(DT9:DT13,"&gt;0"))</f>
        <v/>
      </c>
      <c r="DU15" s="703">
        <f>IF(DU$4&lt;&gt;1,"",COUNTIF(DU9:DU13,"&gt;0"))</f>
        <v/>
      </c>
      <c r="DV15" s="703">
        <f>IF(DV$4&lt;&gt;1,"",COUNTIF(DV9:DV13,"&gt;0"))</f>
        <v/>
      </c>
      <c r="DW15" s="703">
        <f>IF(DW$4&lt;&gt;1,"",COUNTIF(DW9:DW13,"&gt;0"))</f>
        <v/>
      </c>
      <c r="DX15" s="703">
        <f>IF(DX$4&lt;&gt;1,"",COUNTIF(DX9:DX13,"&gt;0"))</f>
        <v/>
      </c>
      <c r="DY15" s="703">
        <f>IF(DY$4&lt;&gt;1,"",COUNTIF(DY9:DY13,"&gt;0"))</f>
        <v/>
      </c>
      <c r="DZ15" s="703">
        <f>IF(DZ$4&lt;&gt;1,"",COUNTIF(DZ9:DZ13,"&gt;0"))</f>
        <v/>
      </c>
      <c r="EA15" s="703">
        <f>IF(EA$4&lt;&gt;1,"",COUNTIF(EA9:EA13,"&gt;0"))</f>
        <v/>
      </c>
      <c r="EB15" s="703">
        <f>IF(EB$4&lt;&gt;1,"",COUNTIF(EB9:EB13,"&gt;0"))</f>
        <v/>
      </c>
      <c r="EC15" s="703">
        <f>IF(EC$4&lt;&gt;1,"",COUNTIF(EC9:EC13,"&gt;0"))</f>
        <v/>
      </c>
      <c r="ED15" s="703">
        <f>IF(ED$4&lt;&gt;1,"",COUNTIF(ED9:ED13,"&gt;0"))</f>
        <v/>
      </c>
      <c r="EE15" s="703">
        <f>IF(EE$4&lt;&gt;1,"",COUNTIF(EE9:EE13,"&gt;0"))</f>
        <v/>
      </c>
      <c r="EF15" s="703">
        <f>IF(EF$4&lt;&gt;1,"",COUNTIF(EF9:EF13,"&gt;0"))</f>
        <v/>
      </c>
      <c r="EG15" s="704" t="n"/>
      <c r="EH15" s="705" t="n"/>
      <c r="EI15" s="706" t="n"/>
      <c r="EJ15" s="702">
        <f>IF(EJ$4&lt;&gt;1,"",COUNTIF(EJ9:EJ13,"&gt;0"))</f>
        <v/>
      </c>
      <c r="EK15" s="703">
        <f>IF(EK$4&lt;&gt;1,"",COUNTIF(EK9:EK13,"&gt;0"))</f>
        <v/>
      </c>
      <c r="EL15" s="703">
        <f>IF(EL$4&lt;&gt;1,"",COUNTIF(EL9:EL13,"&gt;0"))</f>
        <v/>
      </c>
      <c r="EM15" s="703">
        <f>IF(EM$4&lt;&gt;1,"",COUNTIF(EM9:EM13,"&gt;0"))</f>
        <v/>
      </c>
      <c r="EN15" s="703">
        <f>IF(EN$4&lt;&gt;1,"",COUNTIF(EN9:EN13,"&gt;0"))</f>
        <v/>
      </c>
      <c r="EO15" s="703">
        <f>IF(EO$4&lt;&gt;1,"",COUNTIF(EO9:EO13,"&gt;0"))</f>
        <v/>
      </c>
      <c r="EP15" s="703">
        <f>IF(EP$4&lt;&gt;1,"",COUNTIF(EP9:EP13,"&gt;0"))</f>
        <v/>
      </c>
      <c r="EQ15" s="703">
        <f>IF(EQ$4&lt;&gt;1,"",COUNTIF(EQ9:EQ13,"&gt;0"))</f>
        <v/>
      </c>
      <c r="ER15" s="703">
        <f>IF(ER$4&lt;&gt;1,"",COUNTIF(ER9:ER13,"&gt;0"))</f>
        <v/>
      </c>
      <c r="ES15" s="703">
        <f>IF(ES$4&lt;&gt;1,"",COUNTIF(ES9:ES13,"&gt;0"))</f>
        <v/>
      </c>
      <c r="ET15" s="703">
        <f>IF(ET$4&lt;&gt;1,"",COUNTIF(ET9:ET13,"&gt;0"))</f>
        <v/>
      </c>
      <c r="EU15" s="703">
        <f>IF(EU$4&lt;&gt;1,"",COUNTIF(EU9:EU13,"&gt;0"))</f>
        <v/>
      </c>
      <c r="EV15" s="703">
        <f>IF(EV$4&lt;&gt;1,"",COUNTIF(EV9:EV13,"&gt;0"))</f>
        <v/>
      </c>
      <c r="EW15" s="703">
        <f>IF(EW$4&lt;&gt;1,"",COUNTIF(EW9:EW13,"&gt;0"))</f>
        <v/>
      </c>
      <c r="EX15" s="703">
        <f>IF(EX$4&lt;&gt;1,"",COUNTIF(EX9:EX13,"&gt;0"))</f>
        <v/>
      </c>
      <c r="EY15" s="703">
        <f>IF(EY$4&lt;&gt;1,"",COUNTIF(EY9:EY13,"&gt;0"))</f>
        <v/>
      </c>
      <c r="EZ15" s="703">
        <f>IF(EZ$4&lt;&gt;1,"",COUNTIF(EZ9:EZ13,"&gt;0"))</f>
        <v/>
      </c>
      <c r="FA15" s="703">
        <f>IF(FA$4&lt;&gt;1,"",COUNTIF(FA9:FA13,"&gt;0"))</f>
        <v/>
      </c>
      <c r="FB15" s="703">
        <f>IF(FB$4&lt;&gt;1,"",COUNTIF(FB9:FB13,"&gt;0"))</f>
        <v/>
      </c>
      <c r="FC15" s="703">
        <f>IF(FC$4&lt;&gt;1,"",COUNTIF(FC9:FC13,"&gt;0"))</f>
        <v/>
      </c>
      <c r="FD15" s="703">
        <f>IF(FD$4&lt;&gt;1,"",COUNTIF(FD9:FD13,"&gt;0"))</f>
        <v/>
      </c>
      <c r="FE15" s="703">
        <f>IF(FE$4&lt;&gt;1,"",COUNTIF(FE9:FE13,"&gt;0"))</f>
        <v/>
      </c>
      <c r="FF15" s="703">
        <f>IF(FF$4&lt;&gt;1,"",COUNTIF(FF9:FF13,"&gt;0"))</f>
        <v/>
      </c>
      <c r="FG15" s="703">
        <f>IF(FG$4&lt;&gt;1,"",COUNTIF(FG9:FG13,"&gt;0"))</f>
        <v/>
      </c>
      <c r="FH15" s="703">
        <f>IF(FH$4&lt;&gt;1,"",COUNTIF(FH9:FH13,"&gt;0"))</f>
        <v/>
      </c>
      <c r="FI15" s="703">
        <f>IF(FI$4&lt;&gt;1,"",COUNTIF(FI9:FI13,"&gt;0"))</f>
        <v/>
      </c>
      <c r="FJ15" s="703">
        <f>IF(FJ$4&lt;&gt;1,"",COUNTIF(FJ9:FJ13,"&gt;0"))</f>
        <v/>
      </c>
      <c r="FK15" s="703">
        <f>IF(FK$4&lt;&gt;1,"",COUNTIF(FK9:FK13,"&gt;0"))</f>
        <v/>
      </c>
      <c r="FL15" s="703">
        <f>IF(FL$4&lt;&gt;1,"",COUNTIF(FL9:FL13,"&gt;0"))</f>
        <v/>
      </c>
      <c r="FM15" s="703">
        <f>IF(FM$4&lt;&gt;1,"",COUNTIF(FM9:FM13,"&gt;0"))</f>
        <v/>
      </c>
      <c r="FN15" s="703">
        <f>IF(FN$4&lt;&gt;1,"",COUNTIF(FN9:FN13,"&gt;0"))</f>
        <v/>
      </c>
      <c r="FO15" s="704" t="n"/>
      <c r="FP15" s="705" t="n"/>
      <c r="FQ15" s="706" t="n"/>
    </row>
    <row r="16">
      <c r="A16" s="701" t="inlineStr"/>
      <c r="B16" s="184" t="n"/>
      <c r="C16" s="184" t="n"/>
      <c r="D16" s="707" t="n"/>
      <c r="E16" s="708" t="n"/>
      <c r="F16" s="708" t="n"/>
      <c r="G16" s="708" t="n"/>
      <c r="H16" s="708" t="n"/>
      <c r="I16" s="708" t="n"/>
      <c r="J16" s="708" t="n"/>
      <c r="K16" s="708" t="n"/>
      <c r="L16" s="708" t="n"/>
      <c r="M16" s="708" t="n"/>
      <c r="N16" s="708" t="n"/>
      <c r="O16" s="708" t="n"/>
      <c r="P16" s="708" t="n"/>
      <c r="Q16" s="708" t="n"/>
      <c r="R16" s="708" t="n"/>
      <c r="S16" s="708" t="n"/>
      <c r="T16" s="708" t="n"/>
      <c r="U16" s="708" t="n"/>
      <c r="V16" s="708" t="n"/>
      <c r="W16" s="708" t="n"/>
      <c r="X16" s="708" t="n"/>
      <c r="Y16" s="708" t="n"/>
      <c r="Z16" s="708" t="n"/>
      <c r="AA16" s="708" t="n"/>
      <c r="AB16" s="708" t="n"/>
      <c r="AC16" s="708" t="n"/>
      <c r="AD16" s="708" t="n"/>
      <c r="AE16" s="708" t="n"/>
      <c r="AF16" s="708" t="n"/>
      <c r="AG16" s="708" t="n"/>
      <c r="AH16" s="708" t="n"/>
      <c r="AI16" s="704" t="n"/>
      <c r="AJ16" s="705" t="n"/>
      <c r="AK16" s="706" t="n"/>
      <c r="AL16" s="707" t="n"/>
      <c r="AM16" s="708" t="n"/>
      <c r="AN16" s="708" t="n"/>
      <c r="AO16" s="708" t="n"/>
      <c r="AP16" s="708" t="n"/>
      <c r="AQ16" s="708" t="n"/>
      <c r="AR16" s="708" t="n"/>
      <c r="AS16" s="708" t="n"/>
      <c r="AT16" s="708" t="n"/>
      <c r="AU16" s="708" t="n"/>
      <c r="AV16" s="708" t="n"/>
      <c r="AW16" s="708" t="n"/>
      <c r="AX16" s="708" t="n"/>
      <c r="AY16" s="708" t="n"/>
      <c r="AZ16" s="708" t="n"/>
      <c r="BA16" s="708" t="n"/>
      <c r="BB16" s="708" t="n"/>
      <c r="BC16" s="708" t="n"/>
      <c r="BD16" s="708" t="n"/>
      <c r="BE16" s="708" t="n"/>
      <c r="BF16" s="708" t="n"/>
      <c r="BG16" s="708" t="n"/>
      <c r="BH16" s="708" t="n"/>
      <c r="BI16" s="708" t="n"/>
      <c r="BJ16" s="708" t="n"/>
      <c r="BK16" s="708" t="n"/>
      <c r="BL16" s="708" t="n"/>
      <c r="BM16" s="708" t="n"/>
      <c r="BN16" s="708" t="n"/>
      <c r="BO16" s="708" t="n"/>
      <c r="BP16" s="708" t="n"/>
      <c r="BQ16" s="704" t="n"/>
      <c r="BR16" s="705" t="n"/>
      <c r="BS16" s="706" t="n"/>
      <c r="BT16" s="707" t="n"/>
      <c r="BU16" s="708" t="n"/>
      <c r="BV16" s="708" t="n"/>
      <c r="BW16" s="708" t="n"/>
      <c r="BX16" s="708" t="n"/>
      <c r="BY16" s="708" t="n"/>
      <c r="BZ16" s="708" t="n"/>
      <c r="CA16" s="708" t="n"/>
      <c r="CB16" s="708" t="n"/>
      <c r="CC16" s="708" t="n"/>
      <c r="CD16" s="708" t="n"/>
      <c r="CE16" s="708" t="n"/>
      <c r="CF16" s="708" t="n"/>
      <c r="CG16" s="708" t="n"/>
      <c r="CH16" s="708" t="n"/>
      <c r="CI16" s="708" t="n"/>
      <c r="CJ16" s="708" t="n"/>
      <c r="CK16" s="708" t="n"/>
      <c r="CL16" s="708" t="n"/>
      <c r="CM16" s="708" t="n"/>
      <c r="CN16" s="708" t="n"/>
      <c r="CO16" s="708" t="n"/>
      <c r="CP16" s="708" t="n"/>
      <c r="CQ16" s="708" t="n"/>
      <c r="CR16" s="708" t="n"/>
      <c r="CS16" s="708" t="n"/>
      <c r="CT16" s="708" t="n"/>
      <c r="CU16" s="708" t="n"/>
      <c r="CV16" s="708" t="n"/>
      <c r="CW16" s="708" t="n"/>
      <c r="CX16" s="708" t="n"/>
      <c r="CY16" s="704" t="n"/>
      <c r="CZ16" s="705" t="n"/>
      <c r="DA16" s="706" t="n"/>
      <c r="DB16" s="707" t="n"/>
      <c r="DC16" s="708" t="n"/>
      <c r="DD16" s="708" t="n"/>
      <c r="DE16" s="708" t="n"/>
      <c r="DF16" s="708" t="n"/>
      <c r="DG16" s="708" t="n"/>
      <c r="DH16" s="708" t="n"/>
      <c r="DI16" s="708" t="n"/>
      <c r="DJ16" s="708" t="n"/>
      <c r="DK16" s="708" t="n"/>
      <c r="DL16" s="708" t="n"/>
      <c r="DM16" s="708" t="n"/>
      <c r="DN16" s="708" t="n"/>
      <c r="DO16" s="708" t="n"/>
      <c r="DP16" s="708" t="n"/>
      <c r="DQ16" s="708" t="n"/>
      <c r="DR16" s="708" t="n"/>
      <c r="DS16" s="708" t="n"/>
      <c r="DT16" s="708" t="n"/>
      <c r="DU16" s="708" t="n"/>
      <c r="DV16" s="708" t="n"/>
      <c r="DW16" s="708" t="n"/>
      <c r="DX16" s="708" t="n"/>
      <c r="DY16" s="708" t="n"/>
      <c r="DZ16" s="708" t="n"/>
      <c r="EA16" s="708" t="n"/>
      <c r="EB16" s="708" t="n"/>
      <c r="EC16" s="708" t="n"/>
      <c r="ED16" s="708" t="n"/>
      <c r="EE16" s="708" t="n"/>
      <c r="EF16" s="708" t="n"/>
      <c r="EG16" s="704" t="n"/>
      <c r="EH16" s="705" t="n"/>
      <c r="EI16" s="706" t="n"/>
      <c r="EJ16" s="707" t="n"/>
      <c r="EK16" s="708" t="n"/>
      <c r="EL16" s="708" t="n"/>
      <c r="EM16" s="708" t="n"/>
      <c r="EN16" s="708" t="n"/>
      <c r="EO16" s="708" t="n"/>
      <c r="EP16" s="708" t="n"/>
      <c r="EQ16" s="708" t="n"/>
      <c r="ER16" s="708" t="n"/>
      <c r="ES16" s="708" t="n"/>
      <c r="ET16" s="708" t="n"/>
      <c r="EU16" s="708" t="n"/>
      <c r="EV16" s="708" t="n"/>
      <c r="EW16" s="708" t="n"/>
      <c r="EX16" s="708" t="n"/>
      <c r="EY16" s="708" t="n"/>
      <c r="EZ16" s="708" t="n"/>
      <c r="FA16" s="708" t="n"/>
      <c r="FB16" s="708" t="n"/>
      <c r="FC16" s="708" t="n"/>
      <c r="FD16" s="708" t="n"/>
      <c r="FE16" s="708" t="n"/>
      <c r="FF16" s="708" t="n"/>
      <c r="FG16" s="708" t="n"/>
      <c r="FH16" s="708" t="n"/>
      <c r="FI16" s="708" t="n"/>
      <c r="FJ16" s="708" t="n"/>
      <c r="FK16" s="708" t="n"/>
      <c r="FL16" s="708" t="n"/>
      <c r="FM16" s="708" t="n"/>
      <c r="FN16" s="708" t="n"/>
      <c r="FO16" s="704" t="n"/>
      <c r="FP16" s="705" t="n"/>
      <c r="FQ16" s="706" t="n"/>
    </row>
    <row r="17">
      <c r="A17" s="701" t="inlineStr"/>
      <c r="B17" s="184" t="n"/>
      <c r="C17" s="184" t="n"/>
      <c r="D17" s="707" t="n"/>
      <c r="E17" s="708" t="n"/>
      <c r="F17" s="708" t="n"/>
      <c r="G17" s="708" t="n"/>
      <c r="H17" s="708" t="n"/>
      <c r="I17" s="708" t="n"/>
      <c r="J17" s="708" t="n"/>
      <c r="K17" s="708" t="n"/>
      <c r="L17" s="708" t="n"/>
      <c r="M17" s="708" t="n"/>
      <c r="N17" s="708" t="n"/>
      <c r="O17" s="708" t="n"/>
      <c r="P17" s="708" t="n"/>
      <c r="Q17" s="708" t="n"/>
      <c r="R17" s="708" t="n"/>
      <c r="S17" s="708" t="n"/>
      <c r="T17" s="708" t="n"/>
      <c r="U17" s="708" t="n"/>
      <c r="V17" s="708" t="n"/>
      <c r="W17" s="708" t="n"/>
      <c r="X17" s="708" t="n"/>
      <c r="Y17" s="708" t="n"/>
      <c r="Z17" s="708" t="n"/>
      <c r="AA17" s="708" t="n"/>
      <c r="AB17" s="708" t="n"/>
      <c r="AC17" s="708" t="n"/>
      <c r="AD17" s="708" t="n"/>
      <c r="AE17" s="708" t="n"/>
      <c r="AF17" s="708" t="n"/>
      <c r="AG17" s="708" t="n"/>
      <c r="AH17" s="708" t="n"/>
      <c r="AI17" s="704" t="n"/>
      <c r="AJ17" s="705" t="n"/>
      <c r="AK17" s="706" t="n"/>
      <c r="AL17" s="707" t="n"/>
      <c r="AM17" s="708" t="n"/>
      <c r="AN17" s="708" t="n"/>
      <c r="AO17" s="708" t="n"/>
      <c r="AP17" s="708" t="n"/>
      <c r="AQ17" s="708" t="n"/>
      <c r="AR17" s="708" t="n"/>
      <c r="AS17" s="708" t="n"/>
      <c r="AT17" s="708" t="n"/>
      <c r="AU17" s="708" t="n"/>
      <c r="AV17" s="708" t="n"/>
      <c r="AW17" s="708" t="n"/>
      <c r="AX17" s="708" t="n"/>
      <c r="AY17" s="708" t="n"/>
      <c r="AZ17" s="708" t="n"/>
      <c r="BA17" s="708" t="n"/>
      <c r="BB17" s="708" t="n"/>
      <c r="BC17" s="708" t="n"/>
      <c r="BD17" s="708" t="n"/>
      <c r="BE17" s="708" t="n"/>
      <c r="BF17" s="708" t="n"/>
      <c r="BG17" s="708" t="n"/>
      <c r="BH17" s="708" t="n"/>
      <c r="BI17" s="708" t="n"/>
      <c r="BJ17" s="708" t="n"/>
      <c r="BK17" s="708" t="n"/>
      <c r="BL17" s="708" t="n"/>
      <c r="BM17" s="708" t="n"/>
      <c r="BN17" s="708" t="n"/>
      <c r="BO17" s="708" t="n"/>
      <c r="BP17" s="708" t="n"/>
      <c r="BQ17" s="704" t="n"/>
      <c r="BR17" s="705" t="n"/>
      <c r="BS17" s="706" t="n"/>
      <c r="BT17" s="707" t="n"/>
      <c r="BU17" s="708" t="n"/>
      <c r="BV17" s="708" t="n"/>
      <c r="BW17" s="708" t="n"/>
      <c r="BX17" s="708" t="n"/>
      <c r="BY17" s="708" t="n"/>
      <c r="BZ17" s="708" t="n"/>
      <c r="CA17" s="708" t="n"/>
      <c r="CB17" s="708" t="n"/>
      <c r="CC17" s="708" t="n"/>
      <c r="CD17" s="708" t="n"/>
      <c r="CE17" s="708" t="n"/>
      <c r="CF17" s="708" t="n"/>
      <c r="CG17" s="708" t="n"/>
      <c r="CH17" s="708" t="n"/>
      <c r="CI17" s="708" t="n"/>
      <c r="CJ17" s="708" t="n"/>
      <c r="CK17" s="708" t="n"/>
      <c r="CL17" s="708" t="n"/>
      <c r="CM17" s="708" t="n"/>
      <c r="CN17" s="708" t="n"/>
      <c r="CO17" s="708" t="n"/>
      <c r="CP17" s="708" t="n"/>
      <c r="CQ17" s="708" t="n"/>
      <c r="CR17" s="708" t="n"/>
      <c r="CS17" s="708" t="n"/>
      <c r="CT17" s="708" t="n"/>
      <c r="CU17" s="708" t="n"/>
      <c r="CV17" s="708" t="n"/>
      <c r="CW17" s="708" t="n"/>
      <c r="CX17" s="708" t="n"/>
      <c r="CY17" s="704" t="n"/>
      <c r="CZ17" s="705" t="n"/>
      <c r="DA17" s="706" t="n"/>
      <c r="DB17" s="707" t="n"/>
      <c r="DC17" s="708" t="n"/>
      <c r="DD17" s="708" t="n"/>
      <c r="DE17" s="708" t="n"/>
      <c r="DF17" s="708" t="n"/>
      <c r="DG17" s="708" t="n"/>
      <c r="DH17" s="708" t="n"/>
      <c r="DI17" s="708" t="n"/>
      <c r="DJ17" s="708" t="n"/>
      <c r="DK17" s="708" t="n"/>
      <c r="DL17" s="708" t="n"/>
      <c r="DM17" s="708" t="n"/>
      <c r="DN17" s="708" t="n"/>
      <c r="DO17" s="708" t="n"/>
      <c r="DP17" s="708" t="n"/>
      <c r="DQ17" s="708" t="n"/>
      <c r="DR17" s="708" t="n"/>
      <c r="DS17" s="708" t="n"/>
      <c r="DT17" s="708" t="n"/>
      <c r="DU17" s="708" t="n"/>
      <c r="DV17" s="708" t="n"/>
      <c r="DW17" s="708" t="n"/>
      <c r="DX17" s="708" t="n"/>
      <c r="DY17" s="708" t="n"/>
      <c r="DZ17" s="708" t="n"/>
      <c r="EA17" s="708" t="n"/>
      <c r="EB17" s="708" t="n"/>
      <c r="EC17" s="708" t="n"/>
      <c r="ED17" s="708" t="n"/>
      <c r="EE17" s="708" t="n"/>
      <c r="EF17" s="708" t="n"/>
      <c r="EG17" s="704" t="n"/>
      <c r="EH17" s="705" t="n"/>
      <c r="EI17" s="706" t="n"/>
      <c r="EJ17" s="707" t="n"/>
      <c r="EK17" s="708" t="n"/>
      <c r="EL17" s="708" t="n"/>
      <c r="EM17" s="708" t="n"/>
      <c r="EN17" s="708" t="n"/>
      <c r="EO17" s="708" t="n"/>
      <c r="EP17" s="708" t="n"/>
      <c r="EQ17" s="708" t="n"/>
      <c r="ER17" s="708" t="n"/>
      <c r="ES17" s="708" t="n"/>
      <c r="ET17" s="708" t="n"/>
      <c r="EU17" s="708" t="n"/>
      <c r="EV17" s="708" t="n"/>
      <c r="EW17" s="708" t="n"/>
      <c r="EX17" s="708" t="n"/>
      <c r="EY17" s="708" t="n"/>
      <c r="EZ17" s="708" t="n"/>
      <c r="FA17" s="708" t="n"/>
      <c r="FB17" s="708" t="n"/>
      <c r="FC17" s="708" t="n"/>
      <c r="FD17" s="708" t="n"/>
      <c r="FE17" s="708" t="n"/>
      <c r="FF17" s="708" t="n"/>
      <c r="FG17" s="708" t="n"/>
      <c r="FH17" s="708" t="n"/>
      <c r="FI17" s="708" t="n"/>
      <c r="FJ17" s="708" t="n"/>
      <c r="FK17" s="708" t="n"/>
      <c r="FL17" s="708" t="n"/>
      <c r="FM17" s="708" t="n"/>
      <c r="FN17" s="708" t="n"/>
      <c r="FO17" s="704" t="n"/>
      <c r="FP17" s="705" t="n"/>
      <c r="FQ17" s="706" t="n"/>
    </row>
    <row r="18"/>
    <row r="19">
      <c r="B19" s="246" t="inlineStr">
        <is>
          <t>ลงชื่อ ........................................................</t>
        </is>
      </c>
      <c r="V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V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V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32">
    <mergeCell ref="FO5:FQ5"/>
    <mergeCell ref="C5:C8"/>
    <mergeCell ref="AJ6:AJ8"/>
    <mergeCell ref="BR6:BR8"/>
    <mergeCell ref="FO6:FO8"/>
    <mergeCell ref="BS6:BS8"/>
    <mergeCell ref="FQ6:FQ8"/>
    <mergeCell ref="AL5:BP5"/>
    <mergeCell ref="BT5:CX5"/>
    <mergeCell ref="AK6:AK8"/>
    <mergeCell ref="CY5:DA5"/>
    <mergeCell ref="EG5:EI5"/>
    <mergeCell ref="EG6:EG8"/>
    <mergeCell ref="EI6:EI8"/>
    <mergeCell ref="A14:C14"/>
    <mergeCell ref="D5:AH5"/>
    <mergeCell ref="A17:C17"/>
    <mergeCell ref="DB5:EF5"/>
    <mergeCell ref="EH6:EH8"/>
    <mergeCell ref="AI6:AI8"/>
    <mergeCell ref="A16:C16"/>
    <mergeCell ref="AI5:AK5"/>
    <mergeCell ref="A5:A8"/>
    <mergeCell ref="A15:C15"/>
    <mergeCell ref="BQ6:BQ8"/>
    <mergeCell ref="CZ6:CZ8"/>
    <mergeCell ref="B5:B8"/>
    <mergeCell ref="EJ5:FN5"/>
    <mergeCell ref="FP6:FP8"/>
    <mergeCell ref="BQ5:BS5"/>
    <mergeCell ref="CY6:CY8"/>
    <mergeCell ref="DA6:DA8"/>
  </mergeCells>
  <conditionalFormatting sqref="A9:LH13">
    <cfRule type="expression" priority="1" dxfId="0" stopIfTrue="1">
      <formula>$B9=""</formula>
    </cfRule>
  </conditionalFormatting>
  <conditionalFormatting sqref="D6:FQ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FQ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19">
      <formula>OR('มาเรียน-ภ2'!D9="ข",'มาเรียน-ภ2'!D9="ล",'มาเรียน-ภ2'!D9="ป")</formula>
    </cfRule>
  </conditionalFormatting>
  <dataValidations count="5">
    <dataValidation sqref="D9:AH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AL9:BP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BT9:CX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DB9:EF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  <dataValidation sqref="EJ9:FN13" showDropDown="0" showInputMessage="0" showErrorMessage="0" allowBlank="1" errorTitle="ตรวจสอบข้อมูล" error="ใส่จำนวนเงินเป็นตัวเลข" type="decimal" operator="between">
      <formula1>0</formula1>
      <formula2>100000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0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tabColor rgb="00FCC850"/>
    <outlinePr summaryBelow="1" summaryRight="1"/>
    <pageSetUpPr fitToPage="1"/>
  </sheetPr>
  <dimension ref="A1:L307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9" customWidth="1" min="3" max="3"/>
    <col width="26" customWidth="1" min="4" max="4"/>
    <col width="12" customWidth="1" min="5" max="5"/>
    <col width="26" customWidth="1" min="6" max="6"/>
    <col width="18" customWidth="1" min="7" max="7"/>
  </cols>
  <sheetData>
    <row r="1" ht="48" customHeight="1">
      <c r="A1" s="677" t="inlineStr">
        <is>
          <t>🏠</t>
        </is>
      </c>
      <c r="B1" s="678" t="n"/>
      <c r="C1" s="678" t="n"/>
      <c r="D1" s="678" t="n"/>
      <c r="E1" s="678" t="n"/>
      <c r="F1" s="678" t="n"/>
      <c r="G1" s="678" t="n"/>
      <c r="H1" s="678" t="n"/>
      <c r="I1" s="678" t="n"/>
      <c r="J1" s="678" t="n"/>
      <c r="K1" s="678" t="n"/>
      <c r="L1" s="678" t="n"/>
    </row>
    <row r="2" ht="20" customHeight="1">
      <c r="A2" s="679" t="inlineStr">
        <is>
          <t>หน้าหลัก</t>
        </is>
      </c>
      <c r="B2" s="68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81" t="n"/>
      <c r="D2" s="681" t="n"/>
      <c r="E2" s="681" t="n"/>
      <c r="F2" s="681" t="n"/>
      <c r="G2" s="681" t="n"/>
      <c r="H2" s="681" t="n"/>
      <c r="I2" s="681" t="n"/>
      <c r="J2" s="681" t="n"/>
      <c r="K2" s="681" t="n"/>
      <c r="L2" s="681" t="n"/>
    </row>
    <row r="3">
      <c r="B3" s="682" t="inlineStr">
        <is>
          <t>ใส่วันที่ เดือน เลขที่นักเรียน และจำนวนเงิน  •  ชื่อขึ้นเอง  •  ยอดถอนไปหักในหน้าออมเงินของเดือนนั้นอัตโนมัติ</t>
        </is>
      </c>
    </row>
    <row r="4"/>
    <row r="5">
      <c r="A5" s="710" t="inlineStr">
        <is>
          <t>วันที่</t>
        </is>
      </c>
      <c r="B5" s="710" t="inlineStr">
        <is>
          <t>เดือน</t>
        </is>
      </c>
      <c r="C5" s="710" t="inlineStr">
        <is>
          <t>เลขที่
นักเรียน</t>
        </is>
      </c>
      <c r="D5" s="710" t="inlineStr">
        <is>
          <t>ชื่อ - สกุล</t>
        </is>
      </c>
      <c r="E5" s="710" t="inlineStr">
        <is>
          <t>จำนวนเงิน
(บาท)</t>
        </is>
      </c>
      <c r="F5" s="710" t="inlineStr">
        <is>
          <t>เหตุผล / ผู้รับเงิน</t>
        </is>
      </c>
      <c r="G5" s="710" t="inlineStr">
        <is>
          <t>ลายมือชื่อผู้รับ</t>
        </is>
      </c>
    </row>
    <row r="6"/>
    <row r="7">
      <c r="A7" s="193" t="n"/>
      <c r="B7" s="193" t="n"/>
      <c r="C7" s="193" t="n"/>
      <c r="D7" s="242">
        <f>IF(C7="","",IFERROR(INDEX('ข้อมูลนักเรียน'!$T$9:$T$13,C7),"ไม่พบเลขที่"))</f>
        <v/>
      </c>
      <c r="E7" s="695" t="n"/>
      <c r="F7" s="192" t="n"/>
      <c r="G7" s="711" t="n"/>
    </row>
    <row r="8">
      <c r="A8" s="193" t="n"/>
      <c r="B8" s="193" t="n"/>
      <c r="C8" s="193" t="n"/>
      <c r="D8" s="242">
        <f>IF(C8="","",IFERROR(INDEX('ข้อมูลนักเรียน'!$T$9:$T$13,C8),"ไม่พบเลขที่"))</f>
        <v/>
      </c>
      <c r="E8" s="695" t="n"/>
      <c r="F8" s="192" t="n"/>
      <c r="G8" s="711" t="n"/>
    </row>
    <row r="9">
      <c r="A9" s="193" t="n"/>
      <c r="B9" s="193" t="n"/>
      <c r="C9" s="193" t="n"/>
      <c r="D9" s="242">
        <f>IF(C9="","",IFERROR(INDEX('ข้อมูลนักเรียน'!$T$9:$T$13,C9),"ไม่พบเลขที่"))</f>
        <v/>
      </c>
      <c r="E9" s="695" t="n"/>
      <c r="F9" s="192" t="n"/>
      <c r="G9" s="711" t="n"/>
    </row>
    <row r="10">
      <c r="A10" s="193" t="n"/>
      <c r="B10" s="193" t="n"/>
      <c r="C10" s="193" t="n"/>
      <c r="D10" s="242">
        <f>IF(C10="","",IFERROR(INDEX('ข้อมูลนักเรียน'!$T$9:$T$13,C10),"ไม่พบเลขที่"))</f>
        <v/>
      </c>
      <c r="E10" s="695" t="n"/>
      <c r="F10" s="192" t="n"/>
      <c r="G10" s="711" t="n"/>
    </row>
    <row r="11">
      <c r="A11" s="193" t="n"/>
      <c r="B11" s="193" t="n"/>
      <c r="C11" s="193" t="n"/>
      <c r="D11" s="242">
        <f>IF(C11="","",IFERROR(INDEX('ข้อมูลนักเรียน'!$T$9:$T$13,C11),"ไม่พบเลขที่"))</f>
        <v/>
      </c>
      <c r="E11" s="695" t="n"/>
      <c r="F11" s="192" t="n"/>
      <c r="G11" s="711" t="n"/>
    </row>
    <row r="12">
      <c r="A12" s="193" t="n"/>
      <c r="B12" s="193" t="n"/>
      <c r="C12" s="193" t="n"/>
      <c r="D12" s="242">
        <f>IF(C12="","",IFERROR(INDEX('ข้อมูลนักเรียน'!$T$9:$T$13,C12),"ไม่พบเลขที่"))</f>
        <v/>
      </c>
      <c r="E12" s="695" t="n"/>
      <c r="F12" s="192" t="n"/>
      <c r="G12" s="711" t="n"/>
    </row>
    <row r="13">
      <c r="A13" s="193" t="n"/>
      <c r="B13" s="193" t="n"/>
      <c r="C13" s="193" t="n"/>
      <c r="D13" s="242">
        <f>IF(C13="","",IFERROR(INDEX('ข้อมูลนักเรียน'!$T$9:$T$13,C13),"ไม่พบเลขที่"))</f>
        <v/>
      </c>
      <c r="E13" s="695" t="n"/>
      <c r="F13" s="192" t="n"/>
      <c r="G13" s="711" t="n"/>
    </row>
    <row r="14">
      <c r="A14" s="193" t="n"/>
      <c r="B14" s="193" t="n"/>
      <c r="C14" s="193" t="n"/>
      <c r="D14" s="242">
        <f>IF(C14="","",IFERROR(INDEX('ข้อมูลนักเรียน'!$T$9:$T$13,C14),"ไม่พบเลขที่"))</f>
        <v/>
      </c>
      <c r="E14" s="695" t="n"/>
      <c r="F14" s="192" t="n"/>
      <c r="G14" s="711" t="n"/>
    </row>
    <row r="15">
      <c r="A15" s="193" t="n"/>
      <c r="B15" s="193" t="n"/>
      <c r="C15" s="193" t="n"/>
      <c r="D15" s="242">
        <f>IF(C15="","",IFERROR(INDEX('ข้อมูลนักเรียน'!$T$9:$T$13,C15),"ไม่พบเลขที่"))</f>
        <v/>
      </c>
      <c r="E15" s="695" t="n"/>
      <c r="F15" s="192" t="n"/>
      <c r="G15" s="711" t="n"/>
    </row>
    <row r="16">
      <c r="A16" s="193" t="n"/>
      <c r="B16" s="193" t="n"/>
      <c r="C16" s="193" t="n"/>
      <c r="D16" s="242">
        <f>IF(C16="","",IFERROR(INDEX('ข้อมูลนักเรียน'!$T$9:$T$13,C16),"ไม่พบเลขที่"))</f>
        <v/>
      </c>
      <c r="E16" s="695" t="n"/>
      <c r="F16" s="192" t="n"/>
      <c r="G16" s="711" t="n"/>
    </row>
    <row r="17">
      <c r="A17" s="193" t="n"/>
      <c r="B17" s="193" t="n"/>
      <c r="C17" s="193" t="n"/>
      <c r="D17" s="242">
        <f>IF(C17="","",IFERROR(INDEX('ข้อมูลนักเรียน'!$T$9:$T$13,C17),"ไม่พบเลขที่"))</f>
        <v/>
      </c>
      <c r="E17" s="695" t="n"/>
      <c r="F17" s="192" t="n"/>
      <c r="G17" s="711" t="n"/>
    </row>
    <row r="18">
      <c r="A18" s="193" t="n"/>
      <c r="B18" s="193" t="n"/>
      <c r="C18" s="193" t="n"/>
      <c r="D18" s="242">
        <f>IF(C18="","",IFERROR(INDEX('ข้อมูลนักเรียน'!$T$9:$T$13,C18),"ไม่พบเลขที่"))</f>
        <v/>
      </c>
      <c r="E18" s="695" t="n"/>
      <c r="F18" s="192" t="n"/>
      <c r="G18" s="711" t="n"/>
    </row>
    <row r="19">
      <c r="A19" s="193" t="n"/>
      <c r="B19" s="193" t="n"/>
      <c r="C19" s="193" t="n"/>
      <c r="D19" s="242">
        <f>IF(C19="","",IFERROR(INDEX('ข้อมูลนักเรียน'!$T$9:$T$13,C19),"ไม่พบเลขที่"))</f>
        <v/>
      </c>
      <c r="E19" s="695" t="n"/>
      <c r="F19" s="192" t="n"/>
      <c r="G19" s="711" t="n"/>
    </row>
    <row r="20">
      <c r="A20" s="193" t="n"/>
      <c r="B20" s="193" t="n"/>
      <c r="C20" s="193" t="n"/>
      <c r="D20" s="242">
        <f>IF(C20="","",IFERROR(INDEX('ข้อมูลนักเรียน'!$T$9:$T$13,C20),"ไม่พบเลขที่"))</f>
        <v/>
      </c>
      <c r="E20" s="695" t="n"/>
      <c r="F20" s="192" t="n"/>
      <c r="G20" s="711" t="n"/>
    </row>
    <row r="21">
      <c r="A21" s="193" t="n"/>
      <c r="B21" s="193" t="n"/>
      <c r="C21" s="193" t="n"/>
      <c r="D21" s="242">
        <f>IF(C21="","",IFERROR(INDEX('ข้อมูลนักเรียน'!$T$9:$T$13,C21),"ไม่พบเลขที่"))</f>
        <v/>
      </c>
      <c r="E21" s="695" t="n"/>
      <c r="F21" s="192" t="n"/>
      <c r="G21" s="711" t="n"/>
    </row>
    <row r="22">
      <c r="A22" s="193" t="n"/>
      <c r="B22" s="193" t="n"/>
      <c r="C22" s="193" t="n"/>
      <c r="D22" s="242">
        <f>IF(C22="","",IFERROR(INDEX('ข้อมูลนักเรียน'!$T$9:$T$13,C22),"ไม่พบเลขที่"))</f>
        <v/>
      </c>
      <c r="E22" s="695" t="n"/>
      <c r="F22" s="192" t="n"/>
      <c r="G22" s="711" t="n"/>
    </row>
    <row r="23">
      <c r="A23" s="193" t="n"/>
      <c r="B23" s="193" t="n"/>
      <c r="C23" s="193" t="n"/>
      <c r="D23" s="242">
        <f>IF(C23="","",IFERROR(INDEX('ข้อมูลนักเรียน'!$T$9:$T$13,C23),"ไม่พบเลขที่"))</f>
        <v/>
      </c>
      <c r="E23" s="695" t="n"/>
      <c r="F23" s="192" t="n"/>
      <c r="G23" s="711" t="n"/>
    </row>
    <row r="24">
      <c r="A24" s="193" t="n"/>
      <c r="B24" s="193" t="n"/>
      <c r="C24" s="193" t="n"/>
      <c r="D24" s="242">
        <f>IF(C24="","",IFERROR(INDEX('ข้อมูลนักเรียน'!$T$9:$T$13,C24),"ไม่พบเลขที่"))</f>
        <v/>
      </c>
      <c r="E24" s="695" t="n"/>
      <c r="F24" s="192" t="n"/>
      <c r="G24" s="711" t="n"/>
    </row>
    <row r="25">
      <c r="A25" s="193" t="n"/>
      <c r="B25" s="193" t="n"/>
      <c r="C25" s="193" t="n"/>
      <c r="D25" s="242">
        <f>IF(C25="","",IFERROR(INDEX('ข้อมูลนักเรียน'!$T$9:$T$13,C25),"ไม่พบเลขที่"))</f>
        <v/>
      </c>
      <c r="E25" s="695" t="n"/>
      <c r="F25" s="192" t="n"/>
      <c r="G25" s="711" t="n"/>
    </row>
    <row r="26">
      <c r="A26" s="193" t="n"/>
      <c r="B26" s="193" t="n"/>
      <c r="C26" s="193" t="n"/>
      <c r="D26" s="242">
        <f>IF(C26="","",IFERROR(INDEX('ข้อมูลนักเรียน'!$T$9:$T$13,C26),"ไม่พบเลขที่"))</f>
        <v/>
      </c>
      <c r="E26" s="695" t="n"/>
      <c r="F26" s="192" t="n"/>
      <c r="G26" s="711" t="n"/>
    </row>
    <row r="27">
      <c r="A27" s="193" t="n"/>
      <c r="B27" s="193" t="n"/>
      <c r="C27" s="193" t="n"/>
      <c r="D27" s="242">
        <f>IF(C27="","",IFERROR(INDEX('ข้อมูลนักเรียน'!$T$9:$T$13,C27),"ไม่พบเลขที่"))</f>
        <v/>
      </c>
      <c r="E27" s="695" t="n"/>
      <c r="F27" s="192" t="n"/>
      <c r="G27" s="711" t="n"/>
    </row>
    <row r="28">
      <c r="A28" s="193" t="n"/>
      <c r="B28" s="193" t="n"/>
      <c r="C28" s="193" t="n"/>
      <c r="D28" s="242">
        <f>IF(C28="","",IFERROR(INDEX('ข้อมูลนักเรียน'!$T$9:$T$13,C28),"ไม่พบเลขที่"))</f>
        <v/>
      </c>
      <c r="E28" s="695" t="n"/>
      <c r="F28" s="192" t="n"/>
      <c r="G28" s="711" t="n"/>
    </row>
    <row r="29">
      <c r="A29" s="193" t="n"/>
      <c r="B29" s="193" t="n"/>
      <c r="C29" s="193" t="n"/>
      <c r="D29" s="242">
        <f>IF(C29="","",IFERROR(INDEX('ข้อมูลนักเรียน'!$T$9:$T$13,C29),"ไม่พบเลขที่"))</f>
        <v/>
      </c>
      <c r="E29" s="695" t="n"/>
      <c r="F29" s="192" t="n"/>
      <c r="G29" s="711" t="n"/>
    </row>
    <row r="30">
      <c r="A30" s="193" t="n"/>
      <c r="B30" s="193" t="n"/>
      <c r="C30" s="193" t="n"/>
      <c r="D30" s="242">
        <f>IF(C30="","",IFERROR(INDEX('ข้อมูลนักเรียน'!$T$9:$T$13,C30),"ไม่พบเลขที่"))</f>
        <v/>
      </c>
      <c r="E30" s="695" t="n"/>
      <c r="F30" s="192" t="n"/>
      <c r="G30" s="711" t="n"/>
    </row>
    <row r="31">
      <c r="A31" s="193" t="n"/>
      <c r="B31" s="193" t="n"/>
      <c r="C31" s="193" t="n"/>
      <c r="D31" s="242">
        <f>IF(C31="","",IFERROR(INDEX('ข้อมูลนักเรียน'!$T$9:$T$13,C31),"ไม่พบเลขที่"))</f>
        <v/>
      </c>
      <c r="E31" s="695" t="n"/>
      <c r="F31" s="192" t="n"/>
      <c r="G31" s="711" t="n"/>
    </row>
    <row r="32">
      <c r="A32" s="193" t="n"/>
      <c r="B32" s="193" t="n"/>
      <c r="C32" s="193" t="n"/>
      <c r="D32" s="242">
        <f>IF(C32="","",IFERROR(INDEX('ข้อมูลนักเรียน'!$T$9:$T$13,C32),"ไม่พบเลขที่"))</f>
        <v/>
      </c>
      <c r="E32" s="695" t="n"/>
      <c r="F32" s="192" t="n"/>
      <c r="G32" s="711" t="n"/>
    </row>
    <row r="33">
      <c r="A33" s="193" t="n"/>
      <c r="B33" s="193" t="n"/>
      <c r="C33" s="193" t="n"/>
      <c r="D33" s="242">
        <f>IF(C33="","",IFERROR(INDEX('ข้อมูลนักเรียน'!$T$9:$T$13,C33),"ไม่พบเลขที่"))</f>
        <v/>
      </c>
      <c r="E33" s="695" t="n"/>
      <c r="F33" s="192" t="n"/>
      <c r="G33" s="711" t="n"/>
    </row>
    <row r="34">
      <c r="A34" s="193" t="n"/>
      <c r="B34" s="193" t="n"/>
      <c r="C34" s="193" t="n"/>
      <c r="D34" s="242">
        <f>IF(C34="","",IFERROR(INDEX('ข้อมูลนักเรียน'!$T$9:$T$13,C34),"ไม่พบเลขที่"))</f>
        <v/>
      </c>
      <c r="E34" s="695" t="n"/>
      <c r="F34" s="192" t="n"/>
      <c r="G34" s="711" t="n"/>
    </row>
    <row r="35">
      <c r="A35" s="193" t="n"/>
      <c r="B35" s="193" t="n"/>
      <c r="C35" s="193" t="n"/>
      <c r="D35" s="242">
        <f>IF(C35="","",IFERROR(INDEX('ข้อมูลนักเรียน'!$T$9:$T$13,C35),"ไม่พบเลขที่"))</f>
        <v/>
      </c>
      <c r="E35" s="695" t="n"/>
      <c r="F35" s="192" t="n"/>
      <c r="G35" s="711" t="n"/>
    </row>
    <row r="36">
      <c r="A36" s="193" t="n"/>
      <c r="B36" s="193" t="n"/>
      <c r="C36" s="193" t="n"/>
      <c r="D36" s="242">
        <f>IF(C36="","",IFERROR(INDEX('ข้อมูลนักเรียน'!$T$9:$T$13,C36),"ไม่พบเลขที่"))</f>
        <v/>
      </c>
      <c r="E36" s="695" t="n"/>
      <c r="F36" s="192" t="n"/>
      <c r="G36" s="711" t="n"/>
    </row>
    <row r="37">
      <c r="A37" s="193" t="n"/>
      <c r="B37" s="193" t="n"/>
      <c r="C37" s="193" t="n"/>
      <c r="D37" s="242">
        <f>IF(C37="","",IFERROR(INDEX('ข้อมูลนักเรียน'!$T$9:$T$13,C37),"ไม่พบเลขที่"))</f>
        <v/>
      </c>
      <c r="E37" s="695" t="n"/>
      <c r="F37" s="192" t="n"/>
      <c r="G37" s="711" t="n"/>
    </row>
    <row r="38">
      <c r="A38" s="193" t="n"/>
      <c r="B38" s="193" t="n"/>
      <c r="C38" s="193" t="n"/>
      <c r="D38" s="242">
        <f>IF(C38="","",IFERROR(INDEX('ข้อมูลนักเรียน'!$T$9:$T$13,C38),"ไม่พบเลขที่"))</f>
        <v/>
      </c>
      <c r="E38" s="695" t="n"/>
      <c r="F38" s="192" t="n"/>
      <c r="G38" s="711" t="n"/>
    </row>
    <row r="39">
      <c r="A39" s="193" t="n"/>
      <c r="B39" s="193" t="n"/>
      <c r="C39" s="193" t="n"/>
      <c r="D39" s="242">
        <f>IF(C39="","",IFERROR(INDEX('ข้อมูลนักเรียน'!$T$9:$T$13,C39),"ไม่พบเลขที่"))</f>
        <v/>
      </c>
      <c r="E39" s="695" t="n"/>
      <c r="F39" s="192" t="n"/>
      <c r="G39" s="711" t="n"/>
    </row>
    <row r="40">
      <c r="A40" s="193" t="n"/>
      <c r="B40" s="193" t="n"/>
      <c r="C40" s="193" t="n"/>
      <c r="D40" s="242">
        <f>IF(C40="","",IFERROR(INDEX('ข้อมูลนักเรียน'!$T$9:$T$13,C40),"ไม่พบเลขที่"))</f>
        <v/>
      </c>
      <c r="E40" s="695" t="n"/>
      <c r="F40" s="192" t="n"/>
      <c r="G40" s="711" t="n"/>
    </row>
    <row r="41">
      <c r="A41" s="193" t="n"/>
      <c r="B41" s="193" t="n"/>
      <c r="C41" s="193" t="n"/>
      <c r="D41" s="242">
        <f>IF(C41="","",IFERROR(INDEX('ข้อมูลนักเรียน'!$T$9:$T$13,C41),"ไม่พบเลขที่"))</f>
        <v/>
      </c>
      <c r="E41" s="695" t="n"/>
      <c r="F41" s="192" t="n"/>
      <c r="G41" s="711" t="n"/>
    </row>
    <row r="42">
      <c r="A42" s="193" t="n"/>
      <c r="B42" s="193" t="n"/>
      <c r="C42" s="193" t="n"/>
      <c r="D42" s="242">
        <f>IF(C42="","",IFERROR(INDEX('ข้อมูลนักเรียน'!$T$9:$T$13,C42),"ไม่พบเลขที่"))</f>
        <v/>
      </c>
      <c r="E42" s="695" t="n"/>
      <c r="F42" s="192" t="n"/>
      <c r="G42" s="711" t="n"/>
    </row>
    <row r="43">
      <c r="A43" s="193" t="n"/>
      <c r="B43" s="193" t="n"/>
      <c r="C43" s="193" t="n"/>
      <c r="D43" s="242">
        <f>IF(C43="","",IFERROR(INDEX('ข้อมูลนักเรียน'!$T$9:$T$13,C43),"ไม่พบเลขที่"))</f>
        <v/>
      </c>
      <c r="E43" s="695" t="n"/>
      <c r="F43" s="192" t="n"/>
      <c r="G43" s="711" t="n"/>
    </row>
    <row r="44">
      <c r="A44" s="193" t="n"/>
      <c r="B44" s="193" t="n"/>
      <c r="C44" s="193" t="n"/>
      <c r="D44" s="242">
        <f>IF(C44="","",IFERROR(INDEX('ข้อมูลนักเรียน'!$T$9:$T$13,C44),"ไม่พบเลขที่"))</f>
        <v/>
      </c>
      <c r="E44" s="695" t="n"/>
      <c r="F44" s="192" t="n"/>
      <c r="G44" s="711" t="n"/>
    </row>
    <row r="45">
      <c r="A45" s="193" t="n"/>
      <c r="B45" s="193" t="n"/>
      <c r="C45" s="193" t="n"/>
      <c r="D45" s="242">
        <f>IF(C45="","",IFERROR(INDEX('ข้อมูลนักเรียน'!$T$9:$T$13,C45),"ไม่พบเลขที่"))</f>
        <v/>
      </c>
      <c r="E45" s="695" t="n"/>
      <c r="F45" s="192" t="n"/>
      <c r="G45" s="711" t="n"/>
    </row>
    <row r="46">
      <c r="A46" s="193" t="n"/>
      <c r="B46" s="193" t="n"/>
      <c r="C46" s="193" t="n"/>
      <c r="D46" s="242">
        <f>IF(C46="","",IFERROR(INDEX('ข้อมูลนักเรียน'!$T$9:$T$13,C46),"ไม่พบเลขที่"))</f>
        <v/>
      </c>
      <c r="E46" s="695" t="n"/>
      <c r="F46" s="192" t="n"/>
      <c r="G46" s="711" t="n"/>
    </row>
    <row r="47">
      <c r="A47" s="193" t="n"/>
      <c r="B47" s="193" t="n"/>
      <c r="C47" s="193" t="n"/>
      <c r="D47" s="242">
        <f>IF(C47="","",IFERROR(INDEX('ข้อมูลนักเรียน'!$T$9:$T$13,C47),"ไม่พบเลขที่"))</f>
        <v/>
      </c>
      <c r="E47" s="695" t="n"/>
      <c r="F47" s="192" t="n"/>
      <c r="G47" s="711" t="n"/>
    </row>
    <row r="48">
      <c r="A48" s="193" t="n"/>
      <c r="B48" s="193" t="n"/>
      <c r="C48" s="193" t="n"/>
      <c r="D48" s="242">
        <f>IF(C48="","",IFERROR(INDEX('ข้อมูลนักเรียน'!$T$9:$T$13,C48),"ไม่พบเลขที่"))</f>
        <v/>
      </c>
      <c r="E48" s="695" t="n"/>
      <c r="F48" s="192" t="n"/>
      <c r="G48" s="711" t="n"/>
    </row>
    <row r="49">
      <c r="A49" s="193" t="n"/>
      <c r="B49" s="193" t="n"/>
      <c r="C49" s="193" t="n"/>
      <c r="D49" s="242">
        <f>IF(C49="","",IFERROR(INDEX('ข้อมูลนักเรียน'!$T$9:$T$13,C49),"ไม่พบเลขที่"))</f>
        <v/>
      </c>
      <c r="E49" s="695" t="n"/>
      <c r="F49" s="192" t="n"/>
      <c r="G49" s="711" t="n"/>
    </row>
    <row r="50">
      <c r="A50" s="193" t="n"/>
      <c r="B50" s="193" t="n"/>
      <c r="C50" s="193" t="n"/>
      <c r="D50" s="242">
        <f>IF(C50="","",IFERROR(INDEX('ข้อมูลนักเรียน'!$T$9:$T$13,C50),"ไม่พบเลขที่"))</f>
        <v/>
      </c>
      <c r="E50" s="695" t="n"/>
      <c r="F50" s="192" t="n"/>
      <c r="G50" s="711" t="n"/>
    </row>
    <row r="51">
      <c r="A51" s="193" t="n"/>
      <c r="B51" s="193" t="n"/>
      <c r="C51" s="193" t="n"/>
      <c r="D51" s="242">
        <f>IF(C51="","",IFERROR(INDEX('ข้อมูลนักเรียน'!$T$9:$T$13,C51),"ไม่พบเลขที่"))</f>
        <v/>
      </c>
      <c r="E51" s="695" t="n"/>
      <c r="F51" s="192" t="n"/>
      <c r="G51" s="711" t="n"/>
    </row>
    <row r="52">
      <c r="A52" s="193" t="n"/>
      <c r="B52" s="193" t="n"/>
      <c r="C52" s="193" t="n"/>
      <c r="D52" s="242">
        <f>IF(C52="","",IFERROR(INDEX('ข้อมูลนักเรียน'!$T$9:$T$13,C52),"ไม่พบเลขที่"))</f>
        <v/>
      </c>
      <c r="E52" s="695" t="n"/>
      <c r="F52" s="192" t="n"/>
      <c r="G52" s="711" t="n"/>
    </row>
    <row r="53">
      <c r="A53" s="193" t="n"/>
      <c r="B53" s="193" t="n"/>
      <c r="C53" s="193" t="n"/>
      <c r="D53" s="242">
        <f>IF(C53="","",IFERROR(INDEX('ข้อมูลนักเรียน'!$T$9:$T$13,C53),"ไม่พบเลขที่"))</f>
        <v/>
      </c>
      <c r="E53" s="695" t="n"/>
      <c r="F53" s="192" t="n"/>
      <c r="G53" s="711" t="n"/>
    </row>
    <row r="54">
      <c r="A54" s="193" t="n"/>
      <c r="B54" s="193" t="n"/>
      <c r="C54" s="193" t="n"/>
      <c r="D54" s="242">
        <f>IF(C54="","",IFERROR(INDEX('ข้อมูลนักเรียน'!$T$9:$T$13,C54),"ไม่พบเลขที่"))</f>
        <v/>
      </c>
      <c r="E54" s="695" t="n"/>
      <c r="F54" s="192" t="n"/>
      <c r="G54" s="711" t="n"/>
    </row>
    <row r="55">
      <c r="A55" s="193" t="n"/>
      <c r="B55" s="193" t="n"/>
      <c r="C55" s="193" t="n"/>
      <c r="D55" s="242">
        <f>IF(C55="","",IFERROR(INDEX('ข้อมูลนักเรียน'!$T$9:$T$13,C55),"ไม่พบเลขที่"))</f>
        <v/>
      </c>
      <c r="E55" s="695" t="n"/>
      <c r="F55" s="192" t="n"/>
      <c r="G55" s="711" t="n"/>
    </row>
    <row r="56">
      <c r="A56" s="193" t="n"/>
      <c r="B56" s="193" t="n"/>
      <c r="C56" s="193" t="n"/>
      <c r="D56" s="242">
        <f>IF(C56="","",IFERROR(INDEX('ข้อมูลนักเรียน'!$T$9:$T$13,C56),"ไม่พบเลขที่"))</f>
        <v/>
      </c>
      <c r="E56" s="695" t="n"/>
      <c r="F56" s="192" t="n"/>
      <c r="G56" s="711" t="n"/>
    </row>
    <row r="57">
      <c r="A57" s="193" t="n"/>
      <c r="B57" s="193" t="n"/>
      <c r="C57" s="193" t="n"/>
      <c r="D57" s="242">
        <f>IF(C57="","",IFERROR(INDEX('ข้อมูลนักเรียน'!$T$9:$T$13,C57),"ไม่พบเลขที่"))</f>
        <v/>
      </c>
      <c r="E57" s="695" t="n"/>
      <c r="F57" s="192" t="n"/>
      <c r="G57" s="711" t="n"/>
    </row>
    <row r="58">
      <c r="A58" s="193" t="n"/>
      <c r="B58" s="193" t="n"/>
      <c r="C58" s="193" t="n"/>
      <c r="D58" s="242">
        <f>IF(C58="","",IFERROR(INDEX('ข้อมูลนักเรียน'!$T$9:$T$13,C58),"ไม่พบเลขที่"))</f>
        <v/>
      </c>
      <c r="E58" s="695" t="n"/>
      <c r="F58" s="192" t="n"/>
      <c r="G58" s="711" t="n"/>
    </row>
    <row r="59">
      <c r="A59" s="193" t="n"/>
      <c r="B59" s="193" t="n"/>
      <c r="C59" s="193" t="n"/>
      <c r="D59" s="242">
        <f>IF(C59="","",IFERROR(INDEX('ข้อมูลนักเรียน'!$T$9:$T$13,C59),"ไม่พบเลขที่"))</f>
        <v/>
      </c>
      <c r="E59" s="695" t="n"/>
      <c r="F59" s="192" t="n"/>
      <c r="G59" s="711" t="n"/>
    </row>
    <row r="60">
      <c r="A60" s="193" t="n"/>
      <c r="B60" s="193" t="n"/>
      <c r="C60" s="193" t="n"/>
      <c r="D60" s="242">
        <f>IF(C60="","",IFERROR(INDEX('ข้อมูลนักเรียน'!$T$9:$T$13,C60),"ไม่พบเลขที่"))</f>
        <v/>
      </c>
      <c r="E60" s="695" t="n"/>
      <c r="F60" s="192" t="n"/>
      <c r="G60" s="711" t="n"/>
    </row>
    <row r="61">
      <c r="A61" s="193" t="n"/>
      <c r="B61" s="193" t="n"/>
      <c r="C61" s="193" t="n"/>
      <c r="D61" s="242">
        <f>IF(C61="","",IFERROR(INDEX('ข้อมูลนักเรียน'!$T$9:$T$13,C61),"ไม่พบเลขที่"))</f>
        <v/>
      </c>
      <c r="E61" s="695" t="n"/>
      <c r="F61" s="192" t="n"/>
      <c r="G61" s="711" t="n"/>
    </row>
    <row r="62">
      <c r="A62" s="193" t="n"/>
      <c r="B62" s="193" t="n"/>
      <c r="C62" s="193" t="n"/>
      <c r="D62" s="242">
        <f>IF(C62="","",IFERROR(INDEX('ข้อมูลนักเรียน'!$T$9:$T$13,C62),"ไม่พบเลขที่"))</f>
        <v/>
      </c>
      <c r="E62" s="695" t="n"/>
      <c r="F62" s="192" t="n"/>
      <c r="G62" s="711" t="n"/>
    </row>
    <row r="63">
      <c r="A63" s="193" t="n"/>
      <c r="B63" s="193" t="n"/>
      <c r="C63" s="193" t="n"/>
      <c r="D63" s="242">
        <f>IF(C63="","",IFERROR(INDEX('ข้อมูลนักเรียน'!$T$9:$T$13,C63),"ไม่พบเลขที่"))</f>
        <v/>
      </c>
      <c r="E63" s="695" t="n"/>
      <c r="F63" s="192" t="n"/>
      <c r="G63" s="711" t="n"/>
    </row>
    <row r="64">
      <c r="A64" s="193" t="n"/>
      <c r="B64" s="193" t="n"/>
      <c r="C64" s="193" t="n"/>
      <c r="D64" s="242">
        <f>IF(C64="","",IFERROR(INDEX('ข้อมูลนักเรียน'!$T$9:$T$13,C64),"ไม่พบเลขที่"))</f>
        <v/>
      </c>
      <c r="E64" s="695" t="n"/>
      <c r="F64" s="192" t="n"/>
      <c r="G64" s="711" t="n"/>
    </row>
    <row r="65">
      <c r="A65" s="193" t="n"/>
      <c r="B65" s="193" t="n"/>
      <c r="C65" s="193" t="n"/>
      <c r="D65" s="242">
        <f>IF(C65="","",IFERROR(INDEX('ข้อมูลนักเรียน'!$T$9:$T$13,C65),"ไม่พบเลขที่"))</f>
        <v/>
      </c>
      <c r="E65" s="695" t="n"/>
      <c r="F65" s="192" t="n"/>
      <c r="G65" s="711" t="n"/>
    </row>
    <row r="66">
      <c r="A66" s="193" t="n"/>
      <c r="B66" s="193" t="n"/>
      <c r="C66" s="193" t="n"/>
      <c r="D66" s="242">
        <f>IF(C66="","",IFERROR(INDEX('ข้อมูลนักเรียน'!$T$9:$T$13,C66),"ไม่พบเลขที่"))</f>
        <v/>
      </c>
      <c r="E66" s="695" t="n"/>
      <c r="F66" s="192" t="n"/>
      <c r="G66" s="711" t="n"/>
    </row>
    <row r="67">
      <c r="A67" s="193" t="n"/>
      <c r="B67" s="193" t="n"/>
      <c r="C67" s="193" t="n"/>
      <c r="D67" s="242">
        <f>IF(C67="","",IFERROR(INDEX('ข้อมูลนักเรียน'!$T$9:$T$13,C67),"ไม่พบเลขที่"))</f>
        <v/>
      </c>
      <c r="E67" s="695" t="n"/>
      <c r="F67" s="192" t="n"/>
      <c r="G67" s="711" t="n"/>
    </row>
    <row r="68">
      <c r="A68" s="193" t="n"/>
      <c r="B68" s="193" t="n"/>
      <c r="C68" s="193" t="n"/>
      <c r="D68" s="242">
        <f>IF(C68="","",IFERROR(INDEX('ข้อมูลนักเรียน'!$T$9:$T$13,C68),"ไม่พบเลขที่"))</f>
        <v/>
      </c>
      <c r="E68" s="695" t="n"/>
      <c r="F68" s="192" t="n"/>
      <c r="G68" s="711" t="n"/>
    </row>
    <row r="69">
      <c r="A69" s="193" t="n"/>
      <c r="B69" s="193" t="n"/>
      <c r="C69" s="193" t="n"/>
      <c r="D69" s="242">
        <f>IF(C69="","",IFERROR(INDEX('ข้อมูลนักเรียน'!$T$9:$T$13,C69),"ไม่พบเลขที่"))</f>
        <v/>
      </c>
      <c r="E69" s="695" t="n"/>
      <c r="F69" s="192" t="n"/>
      <c r="G69" s="711" t="n"/>
    </row>
    <row r="70">
      <c r="A70" s="193" t="n"/>
      <c r="B70" s="193" t="n"/>
      <c r="C70" s="193" t="n"/>
      <c r="D70" s="242">
        <f>IF(C70="","",IFERROR(INDEX('ข้อมูลนักเรียน'!$T$9:$T$13,C70),"ไม่พบเลขที่"))</f>
        <v/>
      </c>
      <c r="E70" s="695" t="n"/>
      <c r="F70" s="192" t="n"/>
      <c r="G70" s="711" t="n"/>
    </row>
    <row r="71">
      <c r="A71" s="193" t="n"/>
      <c r="B71" s="193" t="n"/>
      <c r="C71" s="193" t="n"/>
      <c r="D71" s="242">
        <f>IF(C71="","",IFERROR(INDEX('ข้อมูลนักเรียน'!$T$9:$T$13,C71),"ไม่พบเลขที่"))</f>
        <v/>
      </c>
      <c r="E71" s="695" t="n"/>
      <c r="F71" s="192" t="n"/>
      <c r="G71" s="711" t="n"/>
    </row>
    <row r="72">
      <c r="A72" s="193" t="n"/>
      <c r="B72" s="193" t="n"/>
      <c r="C72" s="193" t="n"/>
      <c r="D72" s="242">
        <f>IF(C72="","",IFERROR(INDEX('ข้อมูลนักเรียน'!$T$9:$T$13,C72),"ไม่พบเลขที่"))</f>
        <v/>
      </c>
      <c r="E72" s="695" t="n"/>
      <c r="F72" s="192" t="n"/>
      <c r="G72" s="711" t="n"/>
    </row>
    <row r="73">
      <c r="A73" s="193" t="n"/>
      <c r="B73" s="193" t="n"/>
      <c r="C73" s="193" t="n"/>
      <c r="D73" s="242">
        <f>IF(C73="","",IFERROR(INDEX('ข้อมูลนักเรียน'!$T$9:$T$13,C73),"ไม่พบเลขที่"))</f>
        <v/>
      </c>
      <c r="E73" s="695" t="n"/>
      <c r="F73" s="192" t="n"/>
      <c r="G73" s="711" t="n"/>
    </row>
    <row r="74">
      <c r="A74" s="193" t="n"/>
      <c r="B74" s="193" t="n"/>
      <c r="C74" s="193" t="n"/>
      <c r="D74" s="242">
        <f>IF(C74="","",IFERROR(INDEX('ข้อมูลนักเรียน'!$T$9:$T$13,C74),"ไม่พบเลขที่"))</f>
        <v/>
      </c>
      <c r="E74" s="695" t="n"/>
      <c r="F74" s="192" t="n"/>
      <c r="G74" s="711" t="n"/>
    </row>
    <row r="75">
      <c r="A75" s="193" t="n"/>
      <c r="B75" s="193" t="n"/>
      <c r="C75" s="193" t="n"/>
      <c r="D75" s="242">
        <f>IF(C75="","",IFERROR(INDEX('ข้อมูลนักเรียน'!$T$9:$T$13,C75),"ไม่พบเลขที่"))</f>
        <v/>
      </c>
      <c r="E75" s="695" t="n"/>
      <c r="F75" s="192" t="n"/>
      <c r="G75" s="711" t="n"/>
    </row>
    <row r="76">
      <c r="A76" s="193" t="n"/>
      <c r="B76" s="193" t="n"/>
      <c r="C76" s="193" t="n"/>
      <c r="D76" s="242">
        <f>IF(C76="","",IFERROR(INDEX('ข้อมูลนักเรียน'!$T$9:$T$13,C76),"ไม่พบเลขที่"))</f>
        <v/>
      </c>
      <c r="E76" s="695" t="n"/>
      <c r="F76" s="192" t="n"/>
      <c r="G76" s="711" t="n"/>
    </row>
    <row r="77">
      <c r="A77" s="193" t="n"/>
      <c r="B77" s="193" t="n"/>
      <c r="C77" s="193" t="n"/>
      <c r="D77" s="242">
        <f>IF(C77="","",IFERROR(INDEX('ข้อมูลนักเรียน'!$T$9:$T$13,C77),"ไม่พบเลขที่"))</f>
        <v/>
      </c>
      <c r="E77" s="695" t="n"/>
      <c r="F77" s="192" t="n"/>
      <c r="G77" s="711" t="n"/>
    </row>
    <row r="78">
      <c r="A78" s="193" t="n"/>
      <c r="B78" s="193" t="n"/>
      <c r="C78" s="193" t="n"/>
      <c r="D78" s="242">
        <f>IF(C78="","",IFERROR(INDEX('ข้อมูลนักเรียน'!$T$9:$T$13,C78),"ไม่พบเลขที่"))</f>
        <v/>
      </c>
      <c r="E78" s="695" t="n"/>
      <c r="F78" s="192" t="n"/>
      <c r="G78" s="711" t="n"/>
    </row>
    <row r="79">
      <c r="A79" s="193" t="n"/>
      <c r="B79" s="193" t="n"/>
      <c r="C79" s="193" t="n"/>
      <c r="D79" s="242">
        <f>IF(C79="","",IFERROR(INDEX('ข้อมูลนักเรียน'!$T$9:$T$13,C79),"ไม่พบเลขที่"))</f>
        <v/>
      </c>
      <c r="E79" s="695" t="n"/>
      <c r="F79" s="192" t="n"/>
      <c r="G79" s="711" t="n"/>
    </row>
    <row r="80">
      <c r="A80" s="193" t="n"/>
      <c r="B80" s="193" t="n"/>
      <c r="C80" s="193" t="n"/>
      <c r="D80" s="242">
        <f>IF(C80="","",IFERROR(INDEX('ข้อมูลนักเรียน'!$T$9:$T$13,C80),"ไม่พบเลขที่"))</f>
        <v/>
      </c>
      <c r="E80" s="695" t="n"/>
      <c r="F80" s="192" t="n"/>
      <c r="G80" s="711" t="n"/>
    </row>
    <row r="81">
      <c r="A81" s="193" t="n"/>
      <c r="B81" s="193" t="n"/>
      <c r="C81" s="193" t="n"/>
      <c r="D81" s="242">
        <f>IF(C81="","",IFERROR(INDEX('ข้อมูลนักเรียน'!$T$9:$T$13,C81),"ไม่พบเลขที่"))</f>
        <v/>
      </c>
      <c r="E81" s="695" t="n"/>
      <c r="F81" s="192" t="n"/>
      <c r="G81" s="711" t="n"/>
    </row>
    <row r="82">
      <c r="A82" s="193" t="n"/>
      <c r="B82" s="193" t="n"/>
      <c r="C82" s="193" t="n"/>
      <c r="D82" s="242">
        <f>IF(C82="","",IFERROR(INDEX('ข้อมูลนักเรียน'!$T$9:$T$13,C82),"ไม่พบเลขที่"))</f>
        <v/>
      </c>
      <c r="E82" s="695" t="n"/>
      <c r="F82" s="192" t="n"/>
      <c r="G82" s="711" t="n"/>
    </row>
    <row r="83">
      <c r="A83" s="193" t="n"/>
      <c r="B83" s="193" t="n"/>
      <c r="C83" s="193" t="n"/>
      <c r="D83" s="242">
        <f>IF(C83="","",IFERROR(INDEX('ข้อมูลนักเรียน'!$T$9:$T$13,C83),"ไม่พบเลขที่"))</f>
        <v/>
      </c>
      <c r="E83" s="695" t="n"/>
      <c r="F83" s="192" t="n"/>
      <c r="G83" s="711" t="n"/>
    </row>
    <row r="84">
      <c r="A84" s="193" t="n"/>
      <c r="B84" s="193" t="n"/>
      <c r="C84" s="193" t="n"/>
      <c r="D84" s="242">
        <f>IF(C84="","",IFERROR(INDEX('ข้อมูลนักเรียน'!$T$9:$T$13,C84),"ไม่พบเลขที่"))</f>
        <v/>
      </c>
      <c r="E84" s="695" t="n"/>
      <c r="F84" s="192" t="n"/>
      <c r="G84" s="711" t="n"/>
    </row>
    <row r="85">
      <c r="A85" s="193" t="n"/>
      <c r="B85" s="193" t="n"/>
      <c r="C85" s="193" t="n"/>
      <c r="D85" s="242">
        <f>IF(C85="","",IFERROR(INDEX('ข้อมูลนักเรียน'!$T$9:$T$13,C85),"ไม่พบเลขที่"))</f>
        <v/>
      </c>
      <c r="E85" s="695" t="n"/>
      <c r="F85" s="192" t="n"/>
      <c r="G85" s="711" t="n"/>
    </row>
    <row r="86">
      <c r="A86" s="193" t="n"/>
      <c r="B86" s="193" t="n"/>
      <c r="C86" s="193" t="n"/>
      <c r="D86" s="242">
        <f>IF(C86="","",IFERROR(INDEX('ข้อมูลนักเรียน'!$T$9:$T$13,C86),"ไม่พบเลขที่"))</f>
        <v/>
      </c>
      <c r="E86" s="695" t="n"/>
      <c r="F86" s="192" t="n"/>
      <c r="G86" s="711" t="n"/>
    </row>
    <row r="87">
      <c r="A87" s="193" t="n"/>
      <c r="B87" s="193" t="n"/>
      <c r="C87" s="193" t="n"/>
      <c r="D87" s="242">
        <f>IF(C87="","",IFERROR(INDEX('ข้อมูลนักเรียน'!$T$9:$T$13,C87),"ไม่พบเลขที่"))</f>
        <v/>
      </c>
      <c r="E87" s="695" t="n"/>
      <c r="F87" s="192" t="n"/>
      <c r="G87" s="711" t="n"/>
    </row>
    <row r="88">
      <c r="A88" s="193" t="n"/>
      <c r="B88" s="193" t="n"/>
      <c r="C88" s="193" t="n"/>
      <c r="D88" s="242">
        <f>IF(C88="","",IFERROR(INDEX('ข้อมูลนักเรียน'!$T$9:$T$13,C88),"ไม่พบเลขที่"))</f>
        <v/>
      </c>
      <c r="E88" s="695" t="n"/>
      <c r="F88" s="192" t="n"/>
      <c r="G88" s="711" t="n"/>
    </row>
    <row r="89">
      <c r="A89" s="193" t="n"/>
      <c r="B89" s="193" t="n"/>
      <c r="C89" s="193" t="n"/>
      <c r="D89" s="242">
        <f>IF(C89="","",IFERROR(INDEX('ข้อมูลนักเรียน'!$T$9:$T$13,C89),"ไม่พบเลขที่"))</f>
        <v/>
      </c>
      <c r="E89" s="695" t="n"/>
      <c r="F89" s="192" t="n"/>
      <c r="G89" s="711" t="n"/>
    </row>
    <row r="90">
      <c r="A90" s="193" t="n"/>
      <c r="B90" s="193" t="n"/>
      <c r="C90" s="193" t="n"/>
      <c r="D90" s="242">
        <f>IF(C90="","",IFERROR(INDEX('ข้อมูลนักเรียน'!$T$9:$T$13,C90),"ไม่พบเลขที่"))</f>
        <v/>
      </c>
      <c r="E90" s="695" t="n"/>
      <c r="F90" s="192" t="n"/>
      <c r="G90" s="711" t="n"/>
    </row>
    <row r="91">
      <c r="A91" s="193" t="n"/>
      <c r="B91" s="193" t="n"/>
      <c r="C91" s="193" t="n"/>
      <c r="D91" s="242">
        <f>IF(C91="","",IFERROR(INDEX('ข้อมูลนักเรียน'!$T$9:$T$13,C91),"ไม่พบเลขที่"))</f>
        <v/>
      </c>
      <c r="E91" s="695" t="n"/>
      <c r="F91" s="192" t="n"/>
      <c r="G91" s="711" t="n"/>
    </row>
    <row r="92">
      <c r="A92" s="193" t="n"/>
      <c r="B92" s="193" t="n"/>
      <c r="C92" s="193" t="n"/>
      <c r="D92" s="242">
        <f>IF(C92="","",IFERROR(INDEX('ข้อมูลนักเรียน'!$T$9:$T$13,C92),"ไม่พบเลขที่"))</f>
        <v/>
      </c>
      <c r="E92" s="695" t="n"/>
      <c r="F92" s="192" t="n"/>
      <c r="G92" s="711" t="n"/>
    </row>
    <row r="93">
      <c r="A93" s="193" t="n"/>
      <c r="B93" s="193" t="n"/>
      <c r="C93" s="193" t="n"/>
      <c r="D93" s="242">
        <f>IF(C93="","",IFERROR(INDEX('ข้อมูลนักเรียน'!$T$9:$T$13,C93),"ไม่พบเลขที่"))</f>
        <v/>
      </c>
      <c r="E93" s="695" t="n"/>
      <c r="F93" s="192" t="n"/>
      <c r="G93" s="711" t="n"/>
    </row>
    <row r="94">
      <c r="A94" s="193" t="n"/>
      <c r="B94" s="193" t="n"/>
      <c r="C94" s="193" t="n"/>
      <c r="D94" s="242">
        <f>IF(C94="","",IFERROR(INDEX('ข้อมูลนักเรียน'!$T$9:$T$13,C94),"ไม่พบเลขที่"))</f>
        <v/>
      </c>
      <c r="E94" s="695" t="n"/>
      <c r="F94" s="192" t="n"/>
      <c r="G94" s="711" t="n"/>
    </row>
    <row r="95">
      <c r="A95" s="193" t="n"/>
      <c r="B95" s="193" t="n"/>
      <c r="C95" s="193" t="n"/>
      <c r="D95" s="242">
        <f>IF(C95="","",IFERROR(INDEX('ข้อมูลนักเรียน'!$T$9:$T$13,C95),"ไม่พบเลขที่"))</f>
        <v/>
      </c>
      <c r="E95" s="695" t="n"/>
      <c r="F95" s="192" t="n"/>
      <c r="G95" s="711" t="n"/>
    </row>
    <row r="96">
      <c r="A96" s="193" t="n"/>
      <c r="B96" s="193" t="n"/>
      <c r="C96" s="193" t="n"/>
      <c r="D96" s="242">
        <f>IF(C96="","",IFERROR(INDEX('ข้อมูลนักเรียน'!$T$9:$T$13,C96),"ไม่พบเลขที่"))</f>
        <v/>
      </c>
      <c r="E96" s="695" t="n"/>
      <c r="F96" s="192" t="n"/>
      <c r="G96" s="711" t="n"/>
    </row>
    <row r="97">
      <c r="A97" s="193" t="n"/>
      <c r="B97" s="193" t="n"/>
      <c r="C97" s="193" t="n"/>
      <c r="D97" s="242">
        <f>IF(C97="","",IFERROR(INDEX('ข้อมูลนักเรียน'!$T$9:$T$13,C97),"ไม่พบเลขที่"))</f>
        <v/>
      </c>
      <c r="E97" s="695" t="n"/>
      <c r="F97" s="192" t="n"/>
      <c r="G97" s="711" t="n"/>
    </row>
    <row r="98">
      <c r="A98" s="193" t="n"/>
      <c r="B98" s="193" t="n"/>
      <c r="C98" s="193" t="n"/>
      <c r="D98" s="242">
        <f>IF(C98="","",IFERROR(INDEX('ข้อมูลนักเรียน'!$T$9:$T$13,C98),"ไม่พบเลขที่"))</f>
        <v/>
      </c>
      <c r="E98" s="695" t="n"/>
      <c r="F98" s="192" t="n"/>
      <c r="G98" s="711" t="n"/>
    </row>
    <row r="99">
      <c r="A99" s="193" t="n"/>
      <c r="B99" s="193" t="n"/>
      <c r="C99" s="193" t="n"/>
      <c r="D99" s="242">
        <f>IF(C99="","",IFERROR(INDEX('ข้อมูลนักเรียน'!$T$9:$T$13,C99),"ไม่พบเลขที่"))</f>
        <v/>
      </c>
      <c r="E99" s="695" t="n"/>
      <c r="F99" s="192" t="n"/>
      <c r="G99" s="711" t="n"/>
    </row>
    <row r="100">
      <c r="A100" s="193" t="n"/>
      <c r="B100" s="193" t="n"/>
      <c r="C100" s="193" t="n"/>
      <c r="D100" s="242">
        <f>IF(C100="","",IFERROR(INDEX('ข้อมูลนักเรียน'!$T$9:$T$13,C100),"ไม่พบเลขที่"))</f>
        <v/>
      </c>
      <c r="E100" s="695" t="n"/>
      <c r="F100" s="192" t="n"/>
      <c r="G100" s="711" t="n"/>
    </row>
    <row r="101">
      <c r="A101" s="193" t="n"/>
      <c r="B101" s="193" t="n"/>
      <c r="C101" s="193" t="n"/>
      <c r="D101" s="242">
        <f>IF(C101="","",IFERROR(INDEX('ข้อมูลนักเรียน'!$T$9:$T$13,C101),"ไม่พบเลขที่"))</f>
        <v/>
      </c>
      <c r="E101" s="695" t="n"/>
      <c r="F101" s="192" t="n"/>
      <c r="G101" s="711" t="n"/>
    </row>
    <row r="102">
      <c r="A102" s="193" t="n"/>
      <c r="B102" s="193" t="n"/>
      <c r="C102" s="193" t="n"/>
      <c r="D102" s="242">
        <f>IF(C102="","",IFERROR(INDEX('ข้อมูลนักเรียน'!$T$9:$T$13,C102),"ไม่พบเลขที่"))</f>
        <v/>
      </c>
      <c r="E102" s="695" t="n"/>
      <c r="F102" s="192" t="n"/>
      <c r="G102" s="711" t="n"/>
    </row>
    <row r="103">
      <c r="A103" s="193" t="n"/>
      <c r="B103" s="193" t="n"/>
      <c r="C103" s="193" t="n"/>
      <c r="D103" s="242">
        <f>IF(C103="","",IFERROR(INDEX('ข้อมูลนักเรียน'!$T$9:$T$13,C103),"ไม่พบเลขที่"))</f>
        <v/>
      </c>
      <c r="E103" s="695" t="n"/>
      <c r="F103" s="192" t="n"/>
      <c r="G103" s="711" t="n"/>
    </row>
    <row r="104">
      <c r="A104" s="193" t="n"/>
      <c r="B104" s="193" t="n"/>
      <c r="C104" s="193" t="n"/>
      <c r="D104" s="242">
        <f>IF(C104="","",IFERROR(INDEX('ข้อมูลนักเรียน'!$T$9:$T$13,C104),"ไม่พบเลขที่"))</f>
        <v/>
      </c>
      <c r="E104" s="695" t="n"/>
      <c r="F104" s="192" t="n"/>
      <c r="G104" s="711" t="n"/>
    </row>
    <row r="105">
      <c r="A105" s="193" t="n"/>
      <c r="B105" s="193" t="n"/>
      <c r="C105" s="193" t="n"/>
      <c r="D105" s="242">
        <f>IF(C105="","",IFERROR(INDEX('ข้อมูลนักเรียน'!$T$9:$T$13,C105),"ไม่พบเลขที่"))</f>
        <v/>
      </c>
      <c r="E105" s="695" t="n"/>
      <c r="F105" s="192" t="n"/>
      <c r="G105" s="711" t="n"/>
    </row>
    <row r="106">
      <c r="A106" s="193" t="n"/>
      <c r="B106" s="193" t="n"/>
      <c r="C106" s="193" t="n"/>
      <c r="D106" s="242">
        <f>IF(C106="","",IFERROR(INDEX('ข้อมูลนักเรียน'!$T$9:$T$13,C106),"ไม่พบเลขที่"))</f>
        <v/>
      </c>
      <c r="E106" s="695" t="n"/>
      <c r="F106" s="192" t="n"/>
      <c r="G106" s="711" t="n"/>
    </row>
    <row r="107">
      <c r="A107" s="193" t="n"/>
      <c r="B107" s="193" t="n"/>
      <c r="C107" s="193" t="n"/>
      <c r="D107" s="242">
        <f>IF(C107="","",IFERROR(INDEX('ข้อมูลนักเรียน'!$T$9:$T$13,C107),"ไม่พบเลขที่"))</f>
        <v/>
      </c>
      <c r="E107" s="695" t="n"/>
      <c r="F107" s="192" t="n"/>
      <c r="G107" s="711" t="n"/>
    </row>
    <row r="108">
      <c r="A108" s="193" t="n"/>
      <c r="B108" s="193" t="n"/>
      <c r="C108" s="193" t="n"/>
      <c r="D108" s="242">
        <f>IF(C108="","",IFERROR(INDEX('ข้อมูลนักเรียน'!$T$9:$T$13,C108),"ไม่พบเลขที่"))</f>
        <v/>
      </c>
      <c r="E108" s="695" t="n"/>
      <c r="F108" s="192" t="n"/>
      <c r="G108" s="711" t="n"/>
    </row>
    <row r="109">
      <c r="A109" s="193" t="n"/>
      <c r="B109" s="193" t="n"/>
      <c r="C109" s="193" t="n"/>
      <c r="D109" s="242">
        <f>IF(C109="","",IFERROR(INDEX('ข้อมูลนักเรียน'!$T$9:$T$13,C109),"ไม่พบเลขที่"))</f>
        <v/>
      </c>
      <c r="E109" s="695" t="n"/>
      <c r="F109" s="192" t="n"/>
      <c r="G109" s="711" t="n"/>
    </row>
    <row r="110">
      <c r="A110" s="193" t="n"/>
      <c r="B110" s="193" t="n"/>
      <c r="C110" s="193" t="n"/>
      <c r="D110" s="242">
        <f>IF(C110="","",IFERROR(INDEX('ข้อมูลนักเรียน'!$T$9:$T$13,C110),"ไม่พบเลขที่"))</f>
        <v/>
      </c>
      <c r="E110" s="695" t="n"/>
      <c r="F110" s="192" t="n"/>
      <c r="G110" s="711" t="n"/>
    </row>
    <row r="111">
      <c r="A111" s="193" t="n"/>
      <c r="B111" s="193" t="n"/>
      <c r="C111" s="193" t="n"/>
      <c r="D111" s="242">
        <f>IF(C111="","",IFERROR(INDEX('ข้อมูลนักเรียน'!$T$9:$T$13,C111),"ไม่พบเลขที่"))</f>
        <v/>
      </c>
      <c r="E111" s="695" t="n"/>
      <c r="F111" s="192" t="n"/>
      <c r="G111" s="711" t="n"/>
    </row>
    <row r="112">
      <c r="A112" s="193" t="n"/>
      <c r="B112" s="193" t="n"/>
      <c r="C112" s="193" t="n"/>
      <c r="D112" s="242">
        <f>IF(C112="","",IFERROR(INDEX('ข้อมูลนักเรียน'!$T$9:$T$13,C112),"ไม่พบเลขที่"))</f>
        <v/>
      </c>
      <c r="E112" s="695" t="n"/>
      <c r="F112" s="192" t="n"/>
      <c r="G112" s="711" t="n"/>
    </row>
    <row r="113">
      <c r="A113" s="193" t="n"/>
      <c r="B113" s="193" t="n"/>
      <c r="C113" s="193" t="n"/>
      <c r="D113" s="242">
        <f>IF(C113="","",IFERROR(INDEX('ข้อมูลนักเรียน'!$T$9:$T$13,C113),"ไม่พบเลขที่"))</f>
        <v/>
      </c>
      <c r="E113" s="695" t="n"/>
      <c r="F113" s="192" t="n"/>
      <c r="G113" s="711" t="n"/>
    </row>
    <row r="114">
      <c r="A114" s="193" t="n"/>
      <c r="B114" s="193" t="n"/>
      <c r="C114" s="193" t="n"/>
      <c r="D114" s="242">
        <f>IF(C114="","",IFERROR(INDEX('ข้อมูลนักเรียน'!$T$9:$T$13,C114),"ไม่พบเลขที่"))</f>
        <v/>
      </c>
      <c r="E114" s="695" t="n"/>
      <c r="F114" s="192" t="n"/>
      <c r="G114" s="711" t="n"/>
    </row>
    <row r="115">
      <c r="A115" s="193" t="n"/>
      <c r="B115" s="193" t="n"/>
      <c r="C115" s="193" t="n"/>
      <c r="D115" s="242">
        <f>IF(C115="","",IFERROR(INDEX('ข้อมูลนักเรียน'!$T$9:$T$13,C115),"ไม่พบเลขที่"))</f>
        <v/>
      </c>
      <c r="E115" s="695" t="n"/>
      <c r="F115" s="192" t="n"/>
      <c r="G115" s="711" t="n"/>
    </row>
    <row r="116">
      <c r="A116" s="193" t="n"/>
      <c r="B116" s="193" t="n"/>
      <c r="C116" s="193" t="n"/>
      <c r="D116" s="242">
        <f>IF(C116="","",IFERROR(INDEX('ข้อมูลนักเรียน'!$T$9:$T$13,C116),"ไม่พบเลขที่"))</f>
        <v/>
      </c>
      <c r="E116" s="695" t="n"/>
      <c r="F116" s="192" t="n"/>
      <c r="G116" s="711" t="n"/>
    </row>
    <row r="117">
      <c r="A117" s="193" t="n"/>
      <c r="B117" s="193" t="n"/>
      <c r="C117" s="193" t="n"/>
      <c r="D117" s="242">
        <f>IF(C117="","",IFERROR(INDEX('ข้อมูลนักเรียน'!$T$9:$T$13,C117),"ไม่พบเลขที่"))</f>
        <v/>
      </c>
      <c r="E117" s="695" t="n"/>
      <c r="F117" s="192" t="n"/>
      <c r="G117" s="711" t="n"/>
    </row>
    <row r="118">
      <c r="A118" s="193" t="n"/>
      <c r="B118" s="193" t="n"/>
      <c r="C118" s="193" t="n"/>
      <c r="D118" s="242">
        <f>IF(C118="","",IFERROR(INDEX('ข้อมูลนักเรียน'!$T$9:$T$13,C118),"ไม่พบเลขที่"))</f>
        <v/>
      </c>
      <c r="E118" s="695" t="n"/>
      <c r="F118" s="192" t="n"/>
      <c r="G118" s="711" t="n"/>
    </row>
    <row r="119">
      <c r="A119" s="193" t="n"/>
      <c r="B119" s="193" t="n"/>
      <c r="C119" s="193" t="n"/>
      <c r="D119" s="242">
        <f>IF(C119="","",IFERROR(INDEX('ข้อมูลนักเรียน'!$T$9:$T$13,C119),"ไม่พบเลขที่"))</f>
        <v/>
      </c>
      <c r="E119" s="695" t="n"/>
      <c r="F119" s="192" t="n"/>
      <c r="G119" s="711" t="n"/>
    </row>
    <row r="120">
      <c r="A120" s="193" t="n"/>
      <c r="B120" s="193" t="n"/>
      <c r="C120" s="193" t="n"/>
      <c r="D120" s="242">
        <f>IF(C120="","",IFERROR(INDEX('ข้อมูลนักเรียน'!$T$9:$T$13,C120),"ไม่พบเลขที่"))</f>
        <v/>
      </c>
      <c r="E120" s="695" t="n"/>
      <c r="F120" s="192" t="n"/>
      <c r="G120" s="711" t="n"/>
    </row>
    <row r="121">
      <c r="A121" s="193" t="n"/>
      <c r="B121" s="193" t="n"/>
      <c r="C121" s="193" t="n"/>
      <c r="D121" s="242">
        <f>IF(C121="","",IFERROR(INDEX('ข้อมูลนักเรียน'!$T$9:$T$13,C121),"ไม่พบเลขที่"))</f>
        <v/>
      </c>
      <c r="E121" s="695" t="n"/>
      <c r="F121" s="192" t="n"/>
      <c r="G121" s="711" t="n"/>
    </row>
    <row r="122">
      <c r="A122" s="193" t="n"/>
      <c r="B122" s="193" t="n"/>
      <c r="C122" s="193" t="n"/>
      <c r="D122" s="242">
        <f>IF(C122="","",IFERROR(INDEX('ข้อมูลนักเรียน'!$T$9:$T$13,C122),"ไม่พบเลขที่"))</f>
        <v/>
      </c>
      <c r="E122" s="695" t="n"/>
      <c r="F122" s="192" t="n"/>
      <c r="G122" s="711" t="n"/>
    </row>
    <row r="123">
      <c r="A123" s="193" t="n"/>
      <c r="B123" s="193" t="n"/>
      <c r="C123" s="193" t="n"/>
      <c r="D123" s="242">
        <f>IF(C123="","",IFERROR(INDEX('ข้อมูลนักเรียน'!$T$9:$T$13,C123),"ไม่พบเลขที่"))</f>
        <v/>
      </c>
      <c r="E123" s="695" t="n"/>
      <c r="F123" s="192" t="n"/>
      <c r="G123" s="711" t="n"/>
    </row>
    <row r="124">
      <c r="A124" s="193" t="n"/>
      <c r="B124" s="193" t="n"/>
      <c r="C124" s="193" t="n"/>
      <c r="D124" s="242">
        <f>IF(C124="","",IFERROR(INDEX('ข้อมูลนักเรียน'!$T$9:$T$13,C124),"ไม่พบเลขที่"))</f>
        <v/>
      </c>
      <c r="E124" s="695" t="n"/>
      <c r="F124" s="192" t="n"/>
      <c r="G124" s="711" t="n"/>
    </row>
    <row r="125">
      <c r="A125" s="193" t="n"/>
      <c r="B125" s="193" t="n"/>
      <c r="C125" s="193" t="n"/>
      <c r="D125" s="242">
        <f>IF(C125="","",IFERROR(INDEX('ข้อมูลนักเรียน'!$T$9:$T$13,C125),"ไม่พบเลขที่"))</f>
        <v/>
      </c>
      <c r="E125" s="695" t="n"/>
      <c r="F125" s="192" t="n"/>
      <c r="G125" s="711" t="n"/>
    </row>
    <row r="126">
      <c r="A126" s="193" t="n"/>
      <c r="B126" s="193" t="n"/>
      <c r="C126" s="193" t="n"/>
      <c r="D126" s="242">
        <f>IF(C126="","",IFERROR(INDEX('ข้อมูลนักเรียน'!$T$9:$T$13,C126),"ไม่พบเลขที่"))</f>
        <v/>
      </c>
      <c r="E126" s="695" t="n"/>
      <c r="F126" s="192" t="n"/>
      <c r="G126" s="711" t="n"/>
    </row>
    <row r="127">
      <c r="A127" s="193" t="n"/>
      <c r="B127" s="193" t="n"/>
      <c r="C127" s="193" t="n"/>
      <c r="D127" s="242">
        <f>IF(C127="","",IFERROR(INDEX('ข้อมูลนักเรียน'!$T$9:$T$13,C127),"ไม่พบเลขที่"))</f>
        <v/>
      </c>
      <c r="E127" s="695" t="n"/>
      <c r="F127" s="192" t="n"/>
      <c r="G127" s="711" t="n"/>
    </row>
    <row r="128">
      <c r="A128" s="193" t="n"/>
      <c r="B128" s="193" t="n"/>
      <c r="C128" s="193" t="n"/>
      <c r="D128" s="242">
        <f>IF(C128="","",IFERROR(INDEX('ข้อมูลนักเรียน'!$T$9:$T$13,C128),"ไม่พบเลขที่"))</f>
        <v/>
      </c>
      <c r="E128" s="695" t="n"/>
      <c r="F128" s="192" t="n"/>
      <c r="G128" s="711" t="n"/>
    </row>
    <row r="129">
      <c r="A129" s="193" t="n"/>
      <c r="B129" s="193" t="n"/>
      <c r="C129" s="193" t="n"/>
      <c r="D129" s="242">
        <f>IF(C129="","",IFERROR(INDEX('ข้อมูลนักเรียน'!$T$9:$T$13,C129),"ไม่พบเลขที่"))</f>
        <v/>
      </c>
      <c r="E129" s="695" t="n"/>
      <c r="F129" s="192" t="n"/>
      <c r="G129" s="711" t="n"/>
    </row>
    <row r="130">
      <c r="A130" s="193" t="n"/>
      <c r="B130" s="193" t="n"/>
      <c r="C130" s="193" t="n"/>
      <c r="D130" s="242">
        <f>IF(C130="","",IFERROR(INDEX('ข้อมูลนักเรียน'!$T$9:$T$13,C130),"ไม่พบเลขที่"))</f>
        <v/>
      </c>
      <c r="E130" s="695" t="n"/>
      <c r="F130" s="192" t="n"/>
      <c r="G130" s="711" t="n"/>
    </row>
    <row r="131">
      <c r="A131" s="193" t="n"/>
      <c r="B131" s="193" t="n"/>
      <c r="C131" s="193" t="n"/>
      <c r="D131" s="242">
        <f>IF(C131="","",IFERROR(INDEX('ข้อมูลนักเรียน'!$T$9:$T$13,C131),"ไม่พบเลขที่"))</f>
        <v/>
      </c>
      <c r="E131" s="695" t="n"/>
      <c r="F131" s="192" t="n"/>
      <c r="G131" s="711" t="n"/>
    </row>
    <row r="132">
      <c r="A132" s="193" t="n"/>
      <c r="B132" s="193" t="n"/>
      <c r="C132" s="193" t="n"/>
      <c r="D132" s="242">
        <f>IF(C132="","",IFERROR(INDEX('ข้อมูลนักเรียน'!$T$9:$T$13,C132),"ไม่พบเลขที่"))</f>
        <v/>
      </c>
      <c r="E132" s="695" t="n"/>
      <c r="F132" s="192" t="n"/>
      <c r="G132" s="711" t="n"/>
    </row>
    <row r="133">
      <c r="A133" s="193" t="n"/>
      <c r="B133" s="193" t="n"/>
      <c r="C133" s="193" t="n"/>
      <c r="D133" s="242">
        <f>IF(C133="","",IFERROR(INDEX('ข้อมูลนักเรียน'!$T$9:$T$13,C133),"ไม่พบเลขที่"))</f>
        <v/>
      </c>
      <c r="E133" s="695" t="n"/>
      <c r="F133" s="192" t="n"/>
      <c r="G133" s="711" t="n"/>
    </row>
    <row r="134">
      <c r="A134" s="193" t="n"/>
      <c r="B134" s="193" t="n"/>
      <c r="C134" s="193" t="n"/>
      <c r="D134" s="242">
        <f>IF(C134="","",IFERROR(INDEX('ข้อมูลนักเรียน'!$T$9:$T$13,C134),"ไม่พบเลขที่"))</f>
        <v/>
      </c>
      <c r="E134" s="695" t="n"/>
      <c r="F134" s="192" t="n"/>
      <c r="G134" s="711" t="n"/>
    </row>
    <row r="135">
      <c r="A135" s="193" t="n"/>
      <c r="B135" s="193" t="n"/>
      <c r="C135" s="193" t="n"/>
      <c r="D135" s="242">
        <f>IF(C135="","",IFERROR(INDEX('ข้อมูลนักเรียน'!$T$9:$T$13,C135),"ไม่พบเลขที่"))</f>
        <v/>
      </c>
      <c r="E135" s="695" t="n"/>
      <c r="F135" s="192" t="n"/>
      <c r="G135" s="711" t="n"/>
    </row>
    <row r="136">
      <c r="A136" s="193" t="n"/>
      <c r="B136" s="193" t="n"/>
      <c r="C136" s="193" t="n"/>
      <c r="D136" s="242">
        <f>IF(C136="","",IFERROR(INDEX('ข้อมูลนักเรียน'!$T$9:$T$13,C136),"ไม่พบเลขที่"))</f>
        <v/>
      </c>
      <c r="E136" s="695" t="n"/>
      <c r="F136" s="192" t="n"/>
      <c r="G136" s="711" t="n"/>
    </row>
    <row r="137">
      <c r="A137" s="193" t="n"/>
      <c r="B137" s="193" t="n"/>
      <c r="C137" s="193" t="n"/>
      <c r="D137" s="242">
        <f>IF(C137="","",IFERROR(INDEX('ข้อมูลนักเรียน'!$T$9:$T$13,C137),"ไม่พบเลขที่"))</f>
        <v/>
      </c>
      <c r="E137" s="695" t="n"/>
      <c r="F137" s="192" t="n"/>
      <c r="G137" s="711" t="n"/>
    </row>
    <row r="138">
      <c r="A138" s="193" t="n"/>
      <c r="B138" s="193" t="n"/>
      <c r="C138" s="193" t="n"/>
      <c r="D138" s="242">
        <f>IF(C138="","",IFERROR(INDEX('ข้อมูลนักเรียน'!$T$9:$T$13,C138),"ไม่พบเลขที่"))</f>
        <v/>
      </c>
      <c r="E138" s="695" t="n"/>
      <c r="F138" s="192" t="n"/>
      <c r="G138" s="711" t="n"/>
    </row>
    <row r="139">
      <c r="A139" s="193" t="n"/>
      <c r="B139" s="193" t="n"/>
      <c r="C139" s="193" t="n"/>
      <c r="D139" s="242">
        <f>IF(C139="","",IFERROR(INDEX('ข้อมูลนักเรียน'!$T$9:$T$13,C139),"ไม่พบเลขที่"))</f>
        <v/>
      </c>
      <c r="E139" s="695" t="n"/>
      <c r="F139" s="192" t="n"/>
      <c r="G139" s="711" t="n"/>
    </row>
    <row r="140">
      <c r="A140" s="193" t="n"/>
      <c r="B140" s="193" t="n"/>
      <c r="C140" s="193" t="n"/>
      <c r="D140" s="242">
        <f>IF(C140="","",IFERROR(INDEX('ข้อมูลนักเรียน'!$T$9:$T$13,C140),"ไม่พบเลขที่"))</f>
        <v/>
      </c>
      <c r="E140" s="695" t="n"/>
      <c r="F140" s="192" t="n"/>
      <c r="G140" s="711" t="n"/>
    </row>
    <row r="141">
      <c r="A141" s="193" t="n"/>
      <c r="B141" s="193" t="n"/>
      <c r="C141" s="193" t="n"/>
      <c r="D141" s="242">
        <f>IF(C141="","",IFERROR(INDEX('ข้อมูลนักเรียน'!$T$9:$T$13,C141),"ไม่พบเลขที่"))</f>
        <v/>
      </c>
      <c r="E141" s="695" t="n"/>
      <c r="F141" s="192" t="n"/>
      <c r="G141" s="711" t="n"/>
    </row>
    <row r="142">
      <c r="A142" s="193" t="n"/>
      <c r="B142" s="193" t="n"/>
      <c r="C142" s="193" t="n"/>
      <c r="D142" s="242">
        <f>IF(C142="","",IFERROR(INDEX('ข้อมูลนักเรียน'!$T$9:$T$13,C142),"ไม่พบเลขที่"))</f>
        <v/>
      </c>
      <c r="E142" s="695" t="n"/>
      <c r="F142" s="192" t="n"/>
      <c r="G142" s="711" t="n"/>
    </row>
    <row r="143">
      <c r="A143" s="193" t="n"/>
      <c r="B143" s="193" t="n"/>
      <c r="C143" s="193" t="n"/>
      <c r="D143" s="242">
        <f>IF(C143="","",IFERROR(INDEX('ข้อมูลนักเรียน'!$T$9:$T$13,C143),"ไม่พบเลขที่"))</f>
        <v/>
      </c>
      <c r="E143" s="695" t="n"/>
      <c r="F143" s="192" t="n"/>
      <c r="G143" s="711" t="n"/>
    </row>
    <row r="144">
      <c r="A144" s="193" t="n"/>
      <c r="B144" s="193" t="n"/>
      <c r="C144" s="193" t="n"/>
      <c r="D144" s="242">
        <f>IF(C144="","",IFERROR(INDEX('ข้อมูลนักเรียน'!$T$9:$T$13,C144),"ไม่พบเลขที่"))</f>
        <v/>
      </c>
      <c r="E144" s="695" t="n"/>
      <c r="F144" s="192" t="n"/>
      <c r="G144" s="711" t="n"/>
    </row>
    <row r="145">
      <c r="A145" s="193" t="n"/>
      <c r="B145" s="193" t="n"/>
      <c r="C145" s="193" t="n"/>
      <c r="D145" s="242">
        <f>IF(C145="","",IFERROR(INDEX('ข้อมูลนักเรียน'!$T$9:$T$13,C145),"ไม่พบเลขที่"))</f>
        <v/>
      </c>
      <c r="E145" s="695" t="n"/>
      <c r="F145" s="192" t="n"/>
      <c r="G145" s="711" t="n"/>
    </row>
    <row r="146">
      <c r="A146" s="193" t="n"/>
      <c r="B146" s="193" t="n"/>
      <c r="C146" s="193" t="n"/>
      <c r="D146" s="242">
        <f>IF(C146="","",IFERROR(INDEX('ข้อมูลนักเรียน'!$T$9:$T$13,C146),"ไม่พบเลขที่"))</f>
        <v/>
      </c>
      <c r="E146" s="695" t="n"/>
      <c r="F146" s="192" t="n"/>
      <c r="G146" s="711" t="n"/>
    </row>
    <row r="147">
      <c r="A147" s="193" t="n"/>
      <c r="B147" s="193" t="n"/>
      <c r="C147" s="193" t="n"/>
      <c r="D147" s="242">
        <f>IF(C147="","",IFERROR(INDEX('ข้อมูลนักเรียน'!$T$9:$T$13,C147),"ไม่พบเลขที่"))</f>
        <v/>
      </c>
      <c r="E147" s="695" t="n"/>
      <c r="F147" s="192" t="n"/>
      <c r="G147" s="711" t="n"/>
    </row>
    <row r="148">
      <c r="A148" s="193" t="n"/>
      <c r="B148" s="193" t="n"/>
      <c r="C148" s="193" t="n"/>
      <c r="D148" s="242">
        <f>IF(C148="","",IFERROR(INDEX('ข้อมูลนักเรียน'!$T$9:$T$13,C148),"ไม่พบเลขที่"))</f>
        <v/>
      </c>
      <c r="E148" s="695" t="n"/>
      <c r="F148" s="192" t="n"/>
      <c r="G148" s="711" t="n"/>
    </row>
    <row r="149">
      <c r="A149" s="193" t="n"/>
      <c r="B149" s="193" t="n"/>
      <c r="C149" s="193" t="n"/>
      <c r="D149" s="242">
        <f>IF(C149="","",IFERROR(INDEX('ข้อมูลนักเรียน'!$T$9:$T$13,C149),"ไม่พบเลขที่"))</f>
        <v/>
      </c>
      <c r="E149" s="695" t="n"/>
      <c r="F149" s="192" t="n"/>
      <c r="G149" s="711" t="n"/>
    </row>
    <row r="150">
      <c r="A150" s="193" t="n"/>
      <c r="B150" s="193" t="n"/>
      <c r="C150" s="193" t="n"/>
      <c r="D150" s="242">
        <f>IF(C150="","",IFERROR(INDEX('ข้อมูลนักเรียน'!$T$9:$T$13,C150),"ไม่พบเลขที่"))</f>
        <v/>
      </c>
      <c r="E150" s="695" t="n"/>
      <c r="F150" s="192" t="n"/>
      <c r="G150" s="711" t="n"/>
    </row>
    <row r="151">
      <c r="A151" s="193" t="n"/>
      <c r="B151" s="193" t="n"/>
      <c r="C151" s="193" t="n"/>
      <c r="D151" s="242">
        <f>IF(C151="","",IFERROR(INDEX('ข้อมูลนักเรียน'!$T$9:$T$13,C151),"ไม่พบเลขที่"))</f>
        <v/>
      </c>
      <c r="E151" s="695" t="n"/>
      <c r="F151" s="192" t="n"/>
      <c r="G151" s="711" t="n"/>
    </row>
    <row r="152">
      <c r="A152" s="193" t="n"/>
      <c r="B152" s="193" t="n"/>
      <c r="C152" s="193" t="n"/>
      <c r="D152" s="242">
        <f>IF(C152="","",IFERROR(INDEX('ข้อมูลนักเรียน'!$T$9:$T$13,C152),"ไม่พบเลขที่"))</f>
        <v/>
      </c>
      <c r="E152" s="695" t="n"/>
      <c r="F152" s="192" t="n"/>
      <c r="G152" s="711" t="n"/>
    </row>
    <row r="153">
      <c r="A153" s="193" t="n"/>
      <c r="B153" s="193" t="n"/>
      <c r="C153" s="193" t="n"/>
      <c r="D153" s="242">
        <f>IF(C153="","",IFERROR(INDEX('ข้อมูลนักเรียน'!$T$9:$T$13,C153),"ไม่พบเลขที่"))</f>
        <v/>
      </c>
      <c r="E153" s="695" t="n"/>
      <c r="F153" s="192" t="n"/>
      <c r="G153" s="711" t="n"/>
    </row>
    <row r="154">
      <c r="A154" s="193" t="n"/>
      <c r="B154" s="193" t="n"/>
      <c r="C154" s="193" t="n"/>
      <c r="D154" s="242">
        <f>IF(C154="","",IFERROR(INDEX('ข้อมูลนักเรียน'!$T$9:$T$13,C154),"ไม่พบเลขที่"))</f>
        <v/>
      </c>
      <c r="E154" s="695" t="n"/>
      <c r="F154" s="192" t="n"/>
      <c r="G154" s="711" t="n"/>
    </row>
    <row r="155">
      <c r="A155" s="193" t="n"/>
      <c r="B155" s="193" t="n"/>
      <c r="C155" s="193" t="n"/>
      <c r="D155" s="242">
        <f>IF(C155="","",IFERROR(INDEX('ข้อมูลนักเรียน'!$T$9:$T$13,C155),"ไม่พบเลขที่"))</f>
        <v/>
      </c>
      <c r="E155" s="695" t="n"/>
      <c r="F155" s="192" t="n"/>
      <c r="G155" s="711" t="n"/>
    </row>
    <row r="156">
      <c r="A156" s="193" t="n"/>
      <c r="B156" s="193" t="n"/>
      <c r="C156" s="193" t="n"/>
      <c r="D156" s="242">
        <f>IF(C156="","",IFERROR(INDEX('ข้อมูลนักเรียน'!$T$9:$T$13,C156),"ไม่พบเลขที่"))</f>
        <v/>
      </c>
      <c r="E156" s="695" t="n"/>
      <c r="F156" s="192" t="n"/>
      <c r="G156" s="711" t="n"/>
    </row>
    <row r="157">
      <c r="A157" s="193" t="n"/>
      <c r="B157" s="193" t="n"/>
      <c r="C157" s="193" t="n"/>
      <c r="D157" s="242">
        <f>IF(C157="","",IFERROR(INDEX('ข้อมูลนักเรียน'!$T$9:$T$13,C157),"ไม่พบเลขที่"))</f>
        <v/>
      </c>
      <c r="E157" s="695" t="n"/>
      <c r="F157" s="192" t="n"/>
      <c r="G157" s="711" t="n"/>
    </row>
    <row r="158">
      <c r="A158" s="193" t="n"/>
      <c r="B158" s="193" t="n"/>
      <c r="C158" s="193" t="n"/>
      <c r="D158" s="242">
        <f>IF(C158="","",IFERROR(INDEX('ข้อมูลนักเรียน'!$T$9:$T$13,C158),"ไม่พบเลขที่"))</f>
        <v/>
      </c>
      <c r="E158" s="695" t="n"/>
      <c r="F158" s="192" t="n"/>
      <c r="G158" s="711" t="n"/>
    </row>
    <row r="159">
      <c r="A159" s="193" t="n"/>
      <c r="B159" s="193" t="n"/>
      <c r="C159" s="193" t="n"/>
      <c r="D159" s="242">
        <f>IF(C159="","",IFERROR(INDEX('ข้อมูลนักเรียน'!$T$9:$T$13,C159),"ไม่พบเลขที่"))</f>
        <v/>
      </c>
      <c r="E159" s="695" t="n"/>
      <c r="F159" s="192" t="n"/>
      <c r="G159" s="711" t="n"/>
    </row>
    <row r="160">
      <c r="A160" s="193" t="n"/>
      <c r="B160" s="193" t="n"/>
      <c r="C160" s="193" t="n"/>
      <c r="D160" s="242">
        <f>IF(C160="","",IFERROR(INDEX('ข้อมูลนักเรียน'!$T$9:$T$13,C160),"ไม่พบเลขที่"))</f>
        <v/>
      </c>
      <c r="E160" s="695" t="n"/>
      <c r="F160" s="192" t="n"/>
      <c r="G160" s="711" t="n"/>
    </row>
    <row r="161">
      <c r="A161" s="193" t="n"/>
      <c r="B161" s="193" t="n"/>
      <c r="C161" s="193" t="n"/>
      <c r="D161" s="242">
        <f>IF(C161="","",IFERROR(INDEX('ข้อมูลนักเรียน'!$T$9:$T$13,C161),"ไม่พบเลขที่"))</f>
        <v/>
      </c>
      <c r="E161" s="695" t="n"/>
      <c r="F161" s="192" t="n"/>
      <c r="G161" s="711" t="n"/>
    </row>
    <row r="162">
      <c r="A162" s="193" t="n"/>
      <c r="B162" s="193" t="n"/>
      <c r="C162" s="193" t="n"/>
      <c r="D162" s="242">
        <f>IF(C162="","",IFERROR(INDEX('ข้อมูลนักเรียน'!$T$9:$T$13,C162),"ไม่พบเลขที่"))</f>
        <v/>
      </c>
      <c r="E162" s="695" t="n"/>
      <c r="F162" s="192" t="n"/>
      <c r="G162" s="711" t="n"/>
    </row>
    <row r="163">
      <c r="A163" s="193" t="n"/>
      <c r="B163" s="193" t="n"/>
      <c r="C163" s="193" t="n"/>
      <c r="D163" s="242">
        <f>IF(C163="","",IFERROR(INDEX('ข้อมูลนักเรียน'!$T$9:$T$13,C163),"ไม่พบเลขที่"))</f>
        <v/>
      </c>
      <c r="E163" s="695" t="n"/>
      <c r="F163" s="192" t="n"/>
      <c r="G163" s="711" t="n"/>
    </row>
    <row r="164">
      <c r="A164" s="193" t="n"/>
      <c r="B164" s="193" t="n"/>
      <c r="C164" s="193" t="n"/>
      <c r="D164" s="242">
        <f>IF(C164="","",IFERROR(INDEX('ข้อมูลนักเรียน'!$T$9:$T$13,C164),"ไม่พบเลขที่"))</f>
        <v/>
      </c>
      <c r="E164" s="695" t="n"/>
      <c r="F164" s="192" t="n"/>
      <c r="G164" s="711" t="n"/>
    </row>
    <row r="165">
      <c r="A165" s="193" t="n"/>
      <c r="B165" s="193" t="n"/>
      <c r="C165" s="193" t="n"/>
      <c r="D165" s="242">
        <f>IF(C165="","",IFERROR(INDEX('ข้อมูลนักเรียน'!$T$9:$T$13,C165),"ไม่พบเลขที่"))</f>
        <v/>
      </c>
      <c r="E165" s="695" t="n"/>
      <c r="F165" s="192" t="n"/>
      <c r="G165" s="711" t="n"/>
    </row>
    <row r="166">
      <c r="A166" s="193" t="n"/>
      <c r="B166" s="193" t="n"/>
      <c r="C166" s="193" t="n"/>
      <c r="D166" s="242">
        <f>IF(C166="","",IFERROR(INDEX('ข้อมูลนักเรียน'!$T$9:$T$13,C166),"ไม่พบเลขที่"))</f>
        <v/>
      </c>
      <c r="E166" s="695" t="n"/>
      <c r="F166" s="192" t="n"/>
      <c r="G166" s="711" t="n"/>
    </row>
    <row r="167">
      <c r="A167" s="193" t="n"/>
      <c r="B167" s="193" t="n"/>
      <c r="C167" s="193" t="n"/>
      <c r="D167" s="242">
        <f>IF(C167="","",IFERROR(INDEX('ข้อมูลนักเรียน'!$T$9:$T$13,C167),"ไม่พบเลขที่"))</f>
        <v/>
      </c>
      <c r="E167" s="695" t="n"/>
      <c r="F167" s="192" t="n"/>
      <c r="G167" s="711" t="n"/>
    </row>
    <row r="168">
      <c r="A168" s="193" t="n"/>
      <c r="B168" s="193" t="n"/>
      <c r="C168" s="193" t="n"/>
      <c r="D168" s="242">
        <f>IF(C168="","",IFERROR(INDEX('ข้อมูลนักเรียน'!$T$9:$T$13,C168),"ไม่พบเลขที่"))</f>
        <v/>
      </c>
      <c r="E168" s="695" t="n"/>
      <c r="F168" s="192" t="n"/>
      <c r="G168" s="711" t="n"/>
    </row>
    <row r="169">
      <c r="A169" s="193" t="n"/>
      <c r="B169" s="193" t="n"/>
      <c r="C169" s="193" t="n"/>
      <c r="D169" s="242">
        <f>IF(C169="","",IFERROR(INDEX('ข้อมูลนักเรียน'!$T$9:$T$13,C169),"ไม่พบเลขที่"))</f>
        <v/>
      </c>
      <c r="E169" s="695" t="n"/>
      <c r="F169" s="192" t="n"/>
      <c r="G169" s="711" t="n"/>
    </row>
    <row r="170">
      <c r="A170" s="193" t="n"/>
      <c r="B170" s="193" t="n"/>
      <c r="C170" s="193" t="n"/>
      <c r="D170" s="242">
        <f>IF(C170="","",IFERROR(INDEX('ข้อมูลนักเรียน'!$T$9:$T$13,C170),"ไม่พบเลขที่"))</f>
        <v/>
      </c>
      <c r="E170" s="695" t="n"/>
      <c r="F170" s="192" t="n"/>
      <c r="G170" s="711" t="n"/>
    </row>
    <row r="171">
      <c r="A171" s="193" t="n"/>
      <c r="B171" s="193" t="n"/>
      <c r="C171" s="193" t="n"/>
      <c r="D171" s="242">
        <f>IF(C171="","",IFERROR(INDEX('ข้อมูลนักเรียน'!$T$9:$T$13,C171),"ไม่พบเลขที่"))</f>
        <v/>
      </c>
      <c r="E171" s="695" t="n"/>
      <c r="F171" s="192" t="n"/>
      <c r="G171" s="711" t="n"/>
    </row>
    <row r="172">
      <c r="A172" s="193" t="n"/>
      <c r="B172" s="193" t="n"/>
      <c r="C172" s="193" t="n"/>
      <c r="D172" s="242">
        <f>IF(C172="","",IFERROR(INDEX('ข้อมูลนักเรียน'!$T$9:$T$13,C172),"ไม่พบเลขที่"))</f>
        <v/>
      </c>
      <c r="E172" s="695" t="n"/>
      <c r="F172" s="192" t="n"/>
      <c r="G172" s="711" t="n"/>
    </row>
    <row r="173">
      <c r="A173" s="193" t="n"/>
      <c r="B173" s="193" t="n"/>
      <c r="C173" s="193" t="n"/>
      <c r="D173" s="242">
        <f>IF(C173="","",IFERROR(INDEX('ข้อมูลนักเรียน'!$T$9:$T$13,C173),"ไม่พบเลขที่"))</f>
        <v/>
      </c>
      <c r="E173" s="695" t="n"/>
      <c r="F173" s="192" t="n"/>
      <c r="G173" s="711" t="n"/>
    </row>
    <row r="174">
      <c r="A174" s="193" t="n"/>
      <c r="B174" s="193" t="n"/>
      <c r="C174" s="193" t="n"/>
      <c r="D174" s="242">
        <f>IF(C174="","",IFERROR(INDEX('ข้อมูลนักเรียน'!$T$9:$T$13,C174),"ไม่พบเลขที่"))</f>
        <v/>
      </c>
      <c r="E174" s="695" t="n"/>
      <c r="F174" s="192" t="n"/>
      <c r="G174" s="711" t="n"/>
    </row>
    <row r="175">
      <c r="A175" s="193" t="n"/>
      <c r="B175" s="193" t="n"/>
      <c r="C175" s="193" t="n"/>
      <c r="D175" s="242">
        <f>IF(C175="","",IFERROR(INDEX('ข้อมูลนักเรียน'!$T$9:$T$13,C175),"ไม่พบเลขที่"))</f>
        <v/>
      </c>
      <c r="E175" s="695" t="n"/>
      <c r="F175" s="192" t="n"/>
      <c r="G175" s="711" t="n"/>
    </row>
    <row r="176">
      <c r="A176" s="193" t="n"/>
      <c r="B176" s="193" t="n"/>
      <c r="C176" s="193" t="n"/>
      <c r="D176" s="242">
        <f>IF(C176="","",IFERROR(INDEX('ข้อมูลนักเรียน'!$T$9:$T$13,C176),"ไม่พบเลขที่"))</f>
        <v/>
      </c>
      <c r="E176" s="695" t="n"/>
      <c r="F176" s="192" t="n"/>
      <c r="G176" s="711" t="n"/>
    </row>
    <row r="177">
      <c r="A177" s="193" t="n"/>
      <c r="B177" s="193" t="n"/>
      <c r="C177" s="193" t="n"/>
      <c r="D177" s="242">
        <f>IF(C177="","",IFERROR(INDEX('ข้อมูลนักเรียน'!$T$9:$T$13,C177),"ไม่พบเลขที่"))</f>
        <v/>
      </c>
      <c r="E177" s="695" t="n"/>
      <c r="F177" s="192" t="n"/>
      <c r="G177" s="711" t="n"/>
    </row>
    <row r="178">
      <c r="A178" s="193" t="n"/>
      <c r="B178" s="193" t="n"/>
      <c r="C178" s="193" t="n"/>
      <c r="D178" s="242">
        <f>IF(C178="","",IFERROR(INDEX('ข้อมูลนักเรียน'!$T$9:$T$13,C178),"ไม่พบเลขที่"))</f>
        <v/>
      </c>
      <c r="E178" s="695" t="n"/>
      <c r="F178" s="192" t="n"/>
      <c r="G178" s="711" t="n"/>
    </row>
    <row r="179">
      <c r="A179" s="193" t="n"/>
      <c r="B179" s="193" t="n"/>
      <c r="C179" s="193" t="n"/>
      <c r="D179" s="242">
        <f>IF(C179="","",IFERROR(INDEX('ข้อมูลนักเรียน'!$T$9:$T$13,C179),"ไม่พบเลขที่"))</f>
        <v/>
      </c>
      <c r="E179" s="695" t="n"/>
      <c r="F179" s="192" t="n"/>
      <c r="G179" s="711" t="n"/>
    </row>
    <row r="180">
      <c r="A180" s="193" t="n"/>
      <c r="B180" s="193" t="n"/>
      <c r="C180" s="193" t="n"/>
      <c r="D180" s="242">
        <f>IF(C180="","",IFERROR(INDEX('ข้อมูลนักเรียน'!$T$9:$T$13,C180),"ไม่พบเลขที่"))</f>
        <v/>
      </c>
      <c r="E180" s="695" t="n"/>
      <c r="F180" s="192" t="n"/>
      <c r="G180" s="711" t="n"/>
    </row>
    <row r="181">
      <c r="A181" s="193" t="n"/>
      <c r="B181" s="193" t="n"/>
      <c r="C181" s="193" t="n"/>
      <c r="D181" s="242">
        <f>IF(C181="","",IFERROR(INDEX('ข้อมูลนักเรียน'!$T$9:$T$13,C181),"ไม่พบเลขที่"))</f>
        <v/>
      </c>
      <c r="E181" s="695" t="n"/>
      <c r="F181" s="192" t="n"/>
      <c r="G181" s="711" t="n"/>
    </row>
    <row r="182">
      <c r="A182" s="193" t="n"/>
      <c r="B182" s="193" t="n"/>
      <c r="C182" s="193" t="n"/>
      <c r="D182" s="242">
        <f>IF(C182="","",IFERROR(INDEX('ข้อมูลนักเรียน'!$T$9:$T$13,C182),"ไม่พบเลขที่"))</f>
        <v/>
      </c>
      <c r="E182" s="695" t="n"/>
      <c r="F182" s="192" t="n"/>
      <c r="G182" s="711" t="n"/>
    </row>
    <row r="183">
      <c r="A183" s="193" t="n"/>
      <c r="B183" s="193" t="n"/>
      <c r="C183" s="193" t="n"/>
      <c r="D183" s="242">
        <f>IF(C183="","",IFERROR(INDEX('ข้อมูลนักเรียน'!$T$9:$T$13,C183),"ไม่พบเลขที่"))</f>
        <v/>
      </c>
      <c r="E183" s="695" t="n"/>
      <c r="F183" s="192" t="n"/>
      <c r="G183" s="711" t="n"/>
    </row>
    <row r="184">
      <c r="A184" s="193" t="n"/>
      <c r="B184" s="193" t="n"/>
      <c r="C184" s="193" t="n"/>
      <c r="D184" s="242">
        <f>IF(C184="","",IFERROR(INDEX('ข้อมูลนักเรียน'!$T$9:$T$13,C184),"ไม่พบเลขที่"))</f>
        <v/>
      </c>
      <c r="E184" s="695" t="n"/>
      <c r="F184" s="192" t="n"/>
      <c r="G184" s="711" t="n"/>
    </row>
    <row r="185">
      <c r="A185" s="193" t="n"/>
      <c r="B185" s="193" t="n"/>
      <c r="C185" s="193" t="n"/>
      <c r="D185" s="242">
        <f>IF(C185="","",IFERROR(INDEX('ข้อมูลนักเรียน'!$T$9:$T$13,C185),"ไม่พบเลขที่"))</f>
        <v/>
      </c>
      <c r="E185" s="695" t="n"/>
      <c r="F185" s="192" t="n"/>
      <c r="G185" s="711" t="n"/>
    </row>
    <row r="186">
      <c r="A186" s="193" t="n"/>
      <c r="B186" s="193" t="n"/>
      <c r="C186" s="193" t="n"/>
      <c r="D186" s="242">
        <f>IF(C186="","",IFERROR(INDEX('ข้อมูลนักเรียน'!$T$9:$T$13,C186),"ไม่พบเลขที่"))</f>
        <v/>
      </c>
      <c r="E186" s="695" t="n"/>
      <c r="F186" s="192" t="n"/>
      <c r="G186" s="711" t="n"/>
    </row>
    <row r="187">
      <c r="A187" s="193" t="n"/>
      <c r="B187" s="193" t="n"/>
      <c r="C187" s="193" t="n"/>
      <c r="D187" s="242">
        <f>IF(C187="","",IFERROR(INDEX('ข้อมูลนักเรียน'!$T$9:$T$13,C187),"ไม่พบเลขที่"))</f>
        <v/>
      </c>
      <c r="E187" s="695" t="n"/>
      <c r="F187" s="192" t="n"/>
      <c r="G187" s="711" t="n"/>
    </row>
    <row r="188">
      <c r="A188" s="193" t="n"/>
      <c r="B188" s="193" t="n"/>
      <c r="C188" s="193" t="n"/>
      <c r="D188" s="242">
        <f>IF(C188="","",IFERROR(INDEX('ข้อมูลนักเรียน'!$T$9:$T$13,C188),"ไม่พบเลขที่"))</f>
        <v/>
      </c>
      <c r="E188" s="695" t="n"/>
      <c r="F188" s="192" t="n"/>
      <c r="G188" s="711" t="n"/>
    </row>
    <row r="189">
      <c r="A189" s="193" t="n"/>
      <c r="B189" s="193" t="n"/>
      <c r="C189" s="193" t="n"/>
      <c r="D189" s="242">
        <f>IF(C189="","",IFERROR(INDEX('ข้อมูลนักเรียน'!$T$9:$T$13,C189),"ไม่พบเลขที่"))</f>
        <v/>
      </c>
      <c r="E189" s="695" t="n"/>
      <c r="F189" s="192" t="n"/>
      <c r="G189" s="711" t="n"/>
    </row>
    <row r="190">
      <c r="A190" s="193" t="n"/>
      <c r="B190" s="193" t="n"/>
      <c r="C190" s="193" t="n"/>
      <c r="D190" s="242">
        <f>IF(C190="","",IFERROR(INDEX('ข้อมูลนักเรียน'!$T$9:$T$13,C190),"ไม่พบเลขที่"))</f>
        <v/>
      </c>
      <c r="E190" s="695" t="n"/>
      <c r="F190" s="192" t="n"/>
      <c r="G190" s="711" t="n"/>
    </row>
    <row r="191">
      <c r="A191" s="193" t="n"/>
      <c r="B191" s="193" t="n"/>
      <c r="C191" s="193" t="n"/>
      <c r="D191" s="242">
        <f>IF(C191="","",IFERROR(INDEX('ข้อมูลนักเรียน'!$T$9:$T$13,C191),"ไม่พบเลขที่"))</f>
        <v/>
      </c>
      <c r="E191" s="695" t="n"/>
      <c r="F191" s="192" t="n"/>
      <c r="G191" s="711" t="n"/>
    </row>
    <row r="192">
      <c r="A192" s="193" t="n"/>
      <c r="B192" s="193" t="n"/>
      <c r="C192" s="193" t="n"/>
      <c r="D192" s="242">
        <f>IF(C192="","",IFERROR(INDEX('ข้อมูลนักเรียน'!$T$9:$T$13,C192),"ไม่พบเลขที่"))</f>
        <v/>
      </c>
      <c r="E192" s="695" t="n"/>
      <c r="F192" s="192" t="n"/>
      <c r="G192" s="711" t="n"/>
    </row>
    <row r="193">
      <c r="A193" s="193" t="n"/>
      <c r="B193" s="193" t="n"/>
      <c r="C193" s="193" t="n"/>
      <c r="D193" s="242">
        <f>IF(C193="","",IFERROR(INDEX('ข้อมูลนักเรียน'!$T$9:$T$13,C193),"ไม่พบเลขที่"))</f>
        <v/>
      </c>
      <c r="E193" s="695" t="n"/>
      <c r="F193" s="192" t="n"/>
      <c r="G193" s="711" t="n"/>
    </row>
    <row r="194">
      <c r="A194" s="193" t="n"/>
      <c r="B194" s="193" t="n"/>
      <c r="C194" s="193" t="n"/>
      <c r="D194" s="242">
        <f>IF(C194="","",IFERROR(INDEX('ข้อมูลนักเรียน'!$T$9:$T$13,C194),"ไม่พบเลขที่"))</f>
        <v/>
      </c>
      <c r="E194" s="695" t="n"/>
      <c r="F194" s="192" t="n"/>
      <c r="G194" s="711" t="n"/>
    </row>
    <row r="195">
      <c r="A195" s="193" t="n"/>
      <c r="B195" s="193" t="n"/>
      <c r="C195" s="193" t="n"/>
      <c r="D195" s="242">
        <f>IF(C195="","",IFERROR(INDEX('ข้อมูลนักเรียน'!$T$9:$T$13,C195),"ไม่พบเลขที่"))</f>
        <v/>
      </c>
      <c r="E195" s="695" t="n"/>
      <c r="F195" s="192" t="n"/>
      <c r="G195" s="711" t="n"/>
    </row>
    <row r="196">
      <c r="A196" s="193" t="n"/>
      <c r="B196" s="193" t="n"/>
      <c r="C196" s="193" t="n"/>
      <c r="D196" s="242">
        <f>IF(C196="","",IFERROR(INDEX('ข้อมูลนักเรียน'!$T$9:$T$13,C196),"ไม่พบเลขที่"))</f>
        <v/>
      </c>
      <c r="E196" s="695" t="n"/>
      <c r="F196" s="192" t="n"/>
      <c r="G196" s="711" t="n"/>
    </row>
    <row r="197">
      <c r="A197" s="193" t="n"/>
      <c r="B197" s="193" t="n"/>
      <c r="C197" s="193" t="n"/>
      <c r="D197" s="242">
        <f>IF(C197="","",IFERROR(INDEX('ข้อมูลนักเรียน'!$T$9:$T$13,C197),"ไม่พบเลขที่"))</f>
        <v/>
      </c>
      <c r="E197" s="695" t="n"/>
      <c r="F197" s="192" t="n"/>
      <c r="G197" s="711" t="n"/>
    </row>
    <row r="198">
      <c r="A198" s="193" t="n"/>
      <c r="B198" s="193" t="n"/>
      <c r="C198" s="193" t="n"/>
      <c r="D198" s="242">
        <f>IF(C198="","",IFERROR(INDEX('ข้อมูลนักเรียน'!$T$9:$T$13,C198),"ไม่พบเลขที่"))</f>
        <v/>
      </c>
      <c r="E198" s="695" t="n"/>
      <c r="F198" s="192" t="n"/>
      <c r="G198" s="711" t="n"/>
    </row>
    <row r="199">
      <c r="A199" s="193" t="n"/>
      <c r="B199" s="193" t="n"/>
      <c r="C199" s="193" t="n"/>
      <c r="D199" s="242">
        <f>IF(C199="","",IFERROR(INDEX('ข้อมูลนักเรียน'!$T$9:$T$13,C199),"ไม่พบเลขที่"))</f>
        <v/>
      </c>
      <c r="E199" s="695" t="n"/>
      <c r="F199" s="192" t="n"/>
      <c r="G199" s="711" t="n"/>
    </row>
    <row r="200">
      <c r="A200" s="193" t="n"/>
      <c r="B200" s="193" t="n"/>
      <c r="C200" s="193" t="n"/>
      <c r="D200" s="242">
        <f>IF(C200="","",IFERROR(INDEX('ข้อมูลนักเรียน'!$T$9:$T$13,C200),"ไม่พบเลขที่"))</f>
        <v/>
      </c>
      <c r="E200" s="695" t="n"/>
      <c r="F200" s="192" t="n"/>
      <c r="G200" s="711" t="n"/>
    </row>
    <row r="201">
      <c r="A201" s="193" t="n"/>
      <c r="B201" s="193" t="n"/>
      <c r="C201" s="193" t="n"/>
      <c r="D201" s="242">
        <f>IF(C201="","",IFERROR(INDEX('ข้อมูลนักเรียน'!$T$9:$T$13,C201),"ไม่พบเลขที่"))</f>
        <v/>
      </c>
      <c r="E201" s="695" t="n"/>
      <c r="F201" s="192" t="n"/>
      <c r="G201" s="711" t="n"/>
    </row>
    <row r="202">
      <c r="A202" s="193" t="n"/>
      <c r="B202" s="193" t="n"/>
      <c r="C202" s="193" t="n"/>
      <c r="D202" s="242">
        <f>IF(C202="","",IFERROR(INDEX('ข้อมูลนักเรียน'!$T$9:$T$13,C202),"ไม่พบเลขที่"))</f>
        <v/>
      </c>
      <c r="E202" s="695" t="n"/>
      <c r="F202" s="192" t="n"/>
      <c r="G202" s="711" t="n"/>
    </row>
    <row r="203">
      <c r="A203" s="193" t="n"/>
      <c r="B203" s="193" t="n"/>
      <c r="C203" s="193" t="n"/>
      <c r="D203" s="242">
        <f>IF(C203="","",IFERROR(INDEX('ข้อมูลนักเรียน'!$T$9:$T$13,C203),"ไม่พบเลขที่"))</f>
        <v/>
      </c>
      <c r="E203" s="695" t="n"/>
      <c r="F203" s="192" t="n"/>
      <c r="G203" s="711" t="n"/>
    </row>
    <row r="204">
      <c r="A204" s="193" t="n"/>
      <c r="B204" s="193" t="n"/>
      <c r="C204" s="193" t="n"/>
      <c r="D204" s="242">
        <f>IF(C204="","",IFERROR(INDEX('ข้อมูลนักเรียน'!$T$9:$T$13,C204),"ไม่พบเลขที่"))</f>
        <v/>
      </c>
      <c r="E204" s="695" t="n"/>
      <c r="F204" s="192" t="n"/>
      <c r="G204" s="711" t="n"/>
    </row>
    <row r="205">
      <c r="A205" s="193" t="n"/>
      <c r="B205" s="193" t="n"/>
      <c r="C205" s="193" t="n"/>
      <c r="D205" s="242">
        <f>IF(C205="","",IFERROR(INDEX('ข้อมูลนักเรียน'!$T$9:$T$13,C205),"ไม่พบเลขที่"))</f>
        <v/>
      </c>
      <c r="E205" s="695" t="n"/>
      <c r="F205" s="192" t="n"/>
      <c r="G205" s="711" t="n"/>
    </row>
    <row r="206">
      <c r="A206" s="193" t="n"/>
      <c r="B206" s="193" t="n"/>
      <c r="C206" s="193" t="n"/>
      <c r="D206" s="242">
        <f>IF(C206="","",IFERROR(INDEX('ข้อมูลนักเรียน'!$T$9:$T$13,C206),"ไม่พบเลขที่"))</f>
        <v/>
      </c>
      <c r="E206" s="695" t="n"/>
      <c r="F206" s="192" t="n"/>
      <c r="G206" s="711" t="n"/>
    </row>
    <row r="207">
      <c r="A207" s="193" t="n"/>
      <c r="B207" s="193" t="n"/>
      <c r="C207" s="193" t="n"/>
      <c r="D207" s="242">
        <f>IF(C207="","",IFERROR(INDEX('ข้อมูลนักเรียน'!$T$9:$T$13,C207),"ไม่พบเลขที่"))</f>
        <v/>
      </c>
      <c r="E207" s="695" t="n"/>
      <c r="F207" s="192" t="n"/>
      <c r="G207" s="711" t="n"/>
    </row>
    <row r="208">
      <c r="A208" s="193" t="n"/>
      <c r="B208" s="193" t="n"/>
      <c r="C208" s="193" t="n"/>
      <c r="D208" s="242">
        <f>IF(C208="","",IFERROR(INDEX('ข้อมูลนักเรียน'!$T$9:$T$13,C208),"ไม่พบเลขที่"))</f>
        <v/>
      </c>
      <c r="E208" s="695" t="n"/>
      <c r="F208" s="192" t="n"/>
      <c r="G208" s="711" t="n"/>
    </row>
    <row r="209">
      <c r="A209" s="193" t="n"/>
      <c r="B209" s="193" t="n"/>
      <c r="C209" s="193" t="n"/>
      <c r="D209" s="242">
        <f>IF(C209="","",IFERROR(INDEX('ข้อมูลนักเรียน'!$T$9:$T$13,C209),"ไม่พบเลขที่"))</f>
        <v/>
      </c>
      <c r="E209" s="695" t="n"/>
      <c r="F209" s="192" t="n"/>
      <c r="G209" s="711" t="n"/>
    </row>
    <row r="210">
      <c r="A210" s="193" t="n"/>
      <c r="B210" s="193" t="n"/>
      <c r="C210" s="193" t="n"/>
      <c r="D210" s="242">
        <f>IF(C210="","",IFERROR(INDEX('ข้อมูลนักเรียน'!$T$9:$T$13,C210),"ไม่พบเลขที่"))</f>
        <v/>
      </c>
      <c r="E210" s="695" t="n"/>
      <c r="F210" s="192" t="n"/>
      <c r="G210" s="711" t="n"/>
    </row>
    <row r="211">
      <c r="A211" s="193" t="n"/>
      <c r="B211" s="193" t="n"/>
      <c r="C211" s="193" t="n"/>
      <c r="D211" s="242">
        <f>IF(C211="","",IFERROR(INDEX('ข้อมูลนักเรียน'!$T$9:$T$13,C211),"ไม่พบเลขที่"))</f>
        <v/>
      </c>
      <c r="E211" s="695" t="n"/>
      <c r="F211" s="192" t="n"/>
      <c r="G211" s="711" t="n"/>
    </row>
    <row r="212">
      <c r="A212" s="193" t="n"/>
      <c r="B212" s="193" t="n"/>
      <c r="C212" s="193" t="n"/>
      <c r="D212" s="242">
        <f>IF(C212="","",IFERROR(INDEX('ข้อมูลนักเรียน'!$T$9:$T$13,C212),"ไม่พบเลขที่"))</f>
        <v/>
      </c>
      <c r="E212" s="695" t="n"/>
      <c r="F212" s="192" t="n"/>
      <c r="G212" s="711" t="n"/>
    </row>
    <row r="213">
      <c r="A213" s="193" t="n"/>
      <c r="B213" s="193" t="n"/>
      <c r="C213" s="193" t="n"/>
      <c r="D213" s="242">
        <f>IF(C213="","",IFERROR(INDEX('ข้อมูลนักเรียน'!$T$9:$T$13,C213),"ไม่พบเลขที่"))</f>
        <v/>
      </c>
      <c r="E213" s="695" t="n"/>
      <c r="F213" s="192" t="n"/>
      <c r="G213" s="711" t="n"/>
    </row>
    <row r="214">
      <c r="A214" s="193" t="n"/>
      <c r="B214" s="193" t="n"/>
      <c r="C214" s="193" t="n"/>
      <c r="D214" s="242">
        <f>IF(C214="","",IFERROR(INDEX('ข้อมูลนักเรียน'!$T$9:$T$13,C214),"ไม่พบเลขที่"))</f>
        <v/>
      </c>
      <c r="E214" s="695" t="n"/>
      <c r="F214" s="192" t="n"/>
      <c r="G214" s="711" t="n"/>
    </row>
    <row r="215">
      <c r="A215" s="193" t="n"/>
      <c r="B215" s="193" t="n"/>
      <c r="C215" s="193" t="n"/>
      <c r="D215" s="242">
        <f>IF(C215="","",IFERROR(INDEX('ข้อมูลนักเรียน'!$T$9:$T$13,C215),"ไม่พบเลขที่"))</f>
        <v/>
      </c>
      <c r="E215" s="695" t="n"/>
      <c r="F215" s="192" t="n"/>
      <c r="G215" s="711" t="n"/>
    </row>
    <row r="216">
      <c r="A216" s="193" t="n"/>
      <c r="B216" s="193" t="n"/>
      <c r="C216" s="193" t="n"/>
      <c r="D216" s="242">
        <f>IF(C216="","",IFERROR(INDEX('ข้อมูลนักเรียน'!$T$9:$T$13,C216),"ไม่พบเลขที่"))</f>
        <v/>
      </c>
      <c r="E216" s="695" t="n"/>
      <c r="F216" s="192" t="n"/>
      <c r="G216" s="711" t="n"/>
    </row>
    <row r="217">
      <c r="A217" s="193" t="n"/>
      <c r="B217" s="193" t="n"/>
      <c r="C217" s="193" t="n"/>
      <c r="D217" s="242">
        <f>IF(C217="","",IFERROR(INDEX('ข้อมูลนักเรียน'!$T$9:$T$13,C217),"ไม่พบเลขที่"))</f>
        <v/>
      </c>
      <c r="E217" s="695" t="n"/>
      <c r="F217" s="192" t="n"/>
      <c r="G217" s="711" t="n"/>
    </row>
    <row r="218">
      <c r="A218" s="193" t="n"/>
      <c r="B218" s="193" t="n"/>
      <c r="C218" s="193" t="n"/>
      <c r="D218" s="242">
        <f>IF(C218="","",IFERROR(INDEX('ข้อมูลนักเรียน'!$T$9:$T$13,C218),"ไม่พบเลขที่"))</f>
        <v/>
      </c>
      <c r="E218" s="695" t="n"/>
      <c r="F218" s="192" t="n"/>
      <c r="G218" s="711" t="n"/>
    </row>
    <row r="219">
      <c r="A219" s="193" t="n"/>
      <c r="B219" s="193" t="n"/>
      <c r="C219" s="193" t="n"/>
      <c r="D219" s="242">
        <f>IF(C219="","",IFERROR(INDEX('ข้อมูลนักเรียน'!$T$9:$T$13,C219),"ไม่พบเลขที่"))</f>
        <v/>
      </c>
      <c r="E219" s="695" t="n"/>
      <c r="F219" s="192" t="n"/>
      <c r="G219" s="711" t="n"/>
    </row>
    <row r="220">
      <c r="A220" s="193" t="n"/>
      <c r="B220" s="193" t="n"/>
      <c r="C220" s="193" t="n"/>
      <c r="D220" s="242">
        <f>IF(C220="","",IFERROR(INDEX('ข้อมูลนักเรียน'!$T$9:$T$13,C220),"ไม่พบเลขที่"))</f>
        <v/>
      </c>
      <c r="E220" s="695" t="n"/>
      <c r="F220" s="192" t="n"/>
      <c r="G220" s="711" t="n"/>
    </row>
    <row r="221">
      <c r="A221" s="193" t="n"/>
      <c r="B221" s="193" t="n"/>
      <c r="C221" s="193" t="n"/>
      <c r="D221" s="242">
        <f>IF(C221="","",IFERROR(INDEX('ข้อมูลนักเรียน'!$T$9:$T$13,C221),"ไม่พบเลขที่"))</f>
        <v/>
      </c>
      <c r="E221" s="695" t="n"/>
      <c r="F221" s="192" t="n"/>
      <c r="G221" s="711" t="n"/>
    </row>
    <row r="222">
      <c r="A222" s="193" t="n"/>
      <c r="B222" s="193" t="n"/>
      <c r="C222" s="193" t="n"/>
      <c r="D222" s="242">
        <f>IF(C222="","",IFERROR(INDEX('ข้อมูลนักเรียน'!$T$9:$T$13,C222),"ไม่พบเลขที่"))</f>
        <v/>
      </c>
      <c r="E222" s="695" t="n"/>
      <c r="F222" s="192" t="n"/>
      <c r="G222" s="711" t="n"/>
    </row>
    <row r="223">
      <c r="A223" s="193" t="n"/>
      <c r="B223" s="193" t="n"/>
      <c r="C223" s="193" t="n"/>
      <c r="D223" s="242">
        <f>IF(C223="","",IFERROR(INDEX('ข้อมูลนักเรียน'!$T$9:$T$13,C223),"ไม่พบเลขที่"))</f>
        <v/>
      </c>
      <c r="E223" s="695" t="n"/>
      <c r="F223" s="192" t="n"/>
      <c r="G223" s="711" t="n"/>
    </row>
    <row r="224">
      <c r="A224" s="193" t="n"/>
      <c r="B224" s="193" t="n"/>
      <c r="C224" s="193" t="n"/>
      <c r="D224" s="242">
        <f>IF(C224="","",IFERROR(INDEX('ข้อมูลนักเรียน'!$T$9:$T$13,C224),"ไม่พบเลขที่"))</f>
        <v/>
      </c>
      <c r="E224" s="695" t="n"/>
      <c r="F224" s="192" t="n"/>
      <c r="G224" s="711" t="n"/>
    </row>
    <row r="225">
      <c r="A225" s="193" t="n"/>
      <c r="B225" s="193" t="n"/>
      <c r="C225" s="193" t="n"/>
      <c r="D225" s="242">
        <f>IF(C225="","",IFERROR(INDEX('ข้อมูลนักเรียน'!$T$9:$T$13,C225),"ไม่พบเลขที่"))</f>
        <v/>
      </c>
      <c r="E225" s="695" t="n"/>
      <c r="F225" s="192" t="n"/>
      <c r="G225" s="711" t="n"/>
    </row>
    <row r="226">
      <c r="A226" s="193" t="n"/>
      <c r="B226" s="193" t="n"/>
      <c r="C226" s="193" t="n"/>
      <c r="D226" s="242">
        <f>IF(C226="","",IFERROR(INDEX('ข้อมูลนักเรียน'!$T$9:$T$13,C226),"ไม่พบเลขที่"))</f>
        <v/>
      </c>
      <c r="E226" s="695" t="n"/>
      <c r="F226" s="192" t="n"/>
      <c r="G226" s="711" t="n"/>
    </row>
    <row r="227">
      <c r="A227" s="193" t="n"/>
      <c r="B227" s="193" t="n"/>
      <c r="C227" s="193" t="n"/>
      <c r="D227" s="242">
        <f>IF(C227="","",IFERROR(INDEX('ข้อมูลนักเรียน'!$T$9:$T$13,C227),"ไม่พบเลขที่"))</f>
        <v/>
      </c>
      <c r="E227" s="695" t="n"/>
      <c r="F227" s="192" t="n"/>
      <c r="G227" s="711" t="n"/>
    </row>
    <row r="228">
      <c r="A228" s="193" t="n"/>
      <c r="B228" s="193" t="n"/>
      <c r="C228" s="193" t="n"/>
      <c r="D228" s="242">
        <f>IF(C228="","",IFERROR(INDEX('ข้อมูลนักเรียน'!$T$9:$T$13,C228),"ไม่พบเลขที่"))</f>
        <v/>
      </c>
      <c r="E228" s="695" t="n"/>
      <c r="F228" s="192" t="n"/>
      <c r="G228" s="711" t="n"/>
    </row>
    <row r="229">
      <c r="A229" s="193" t="n"/>
      <c r="B229" s="193" t="n"/>
      <c r="C229" s="193" t="n"/>
      <c r="D229" s="242">
        <f>IF(C229="","",IFERROR(INDEX('ข้อมูลนักเรียน'!$T$9:$T$13,C229),"ไม่พบเลขที่"))</f>
        <v/>
      </c>
      <c r="E229" s="695" t="n"/>
      <c r="F229" s="192" t="n"/>
      <c r="G229" s="711" t="n"/>
    </row>
    <row r="230">
      <c r="A230" s="193" t="n"/>
      <c r="B230" s="193" t="n"/>
      <c r="C230" s="193" t="n"/>
      <c r="D230" s="242">
        <f>IF(C230="","",IFERROR(INDEX('ข้อมูลนักเรียน'!$T$9:$T$13,C230),"ไม่พบเลขที่"))</f>
        <v/>
      </c>
      <c r="E230" s="695" t="n"/>
      <c r="F230" s="192" t="n"/>
      <c r="G230" s="711" t="n"/>
    </row>
    <row r="231">
      <c r="A231" s="193" t="n"/>
      <c r="B231" s="193" t="n"/>
      <c r="C231" s="193" t="n"/>
      <c r="D231" s="242">
        <f>IF(C231="","",IFERROR(INDEX('ข้อมูลนักเรียน'!$T$9:$T$13,C231),"ไม่พบเลขที่"))</f>
        <v/>
      </c>
      <c r="E231" s="695" t="n"/>
      <c r="F231" s="192" t="n"/>
      <c r="G231" s="711" t="n"/>
    </row>
    <row r="232">
      <c r="A232" s="193" t="n"/>
      <c r="B232" s="193" t="n"/>
      <c r="C232" s="193" t="n"/>
      <c r="D232" s="242">
        <f>IF(C232="","",IFERROR(INDEX('ข้อมูลนักเรียน'!$T$9:$T$13,C232),"ไม่พบเลขที่"))</f>
        <v/>
      </c>
      <c r="E232" s="695" t="n"/>
      <c r="F232" s="192" t="n"/>
      <c r="G232" s="711" t="n"/>
    </row>
    <row r="233">
      <c r="A233" s="193" t="n"/>
      <c r="B233" s="193" t="n"/>
      <c r="C233" s="193" t="n"/>
      <c r="D233" s="242">
        <f>IF(C233="","",IFERROR(INDEX('ข้อมูลนักเรียน'!$T$9:$T$13,C233),"ไม่พบเลขที่"))</f>
        <v/>
      </c>
      <c r="E233" s="695" t="n"/>
      <c r="F233" s="192" t="n"/>
      <c r="G233" s="711" t="n"/>
    </row>
    <row r="234">
      <c r="A234" s="193" t="n"/>
      <c r="B234" s="193" t="n"/>
      <c r="C234" s="193" t="n"/>
      <c r="D234" s="242">
        <f>IF(C234="","",IFERROR(INDEX('ข้อมูลนักเรียน'!$T$9:$T$13,C234),"ไม่พบเลขที่"))</f>
        <v/>
      </c>
      <c r="E234" s="695" t="n"/>
      <c r="F234" s="192" t="n"/>
      <c r="G234" s="711" t="n"/>
    </row>
    <row r="235">
      <c r="A235" s="193" t="n"/>
      <c r="B235" s="193" t="n"/>
      <c r="C235" s="193" t="n"/>
      <c r="D235" s="242">
        <f>IF(C235="","",IFERROR(INDEX('ข้อมูลนักเรียน'!$T$9:$T$13,C235),"ไม่พบเลขที่"))</f>
        <v/>
      </c>
      <c r="E235" s="695" t="n"/>
      <c r="F235" s="192" t="n"/>
      <c r="G235" s="711" t="n"/>
    </row>
    <row r="236">
      <c r="A236" s="193" t="n"/>
      <c r="B236" s="193" t="n"/>
      <c r="C236" s="193" t="n"/>
      <c r="D236" s="242">
        <f>IF(C236="","",IFERROR(INDEX('ข้อมูลนักเรียน'!$T$9:$T$13,C236),"ไม่พบเลขที่"))</f>
        <v/>
      </c>
      <c r="E236" s="695" t="n"/>
      <c r="F236" s="192" t="n"/>
      <c r="G236" s="711" t="n"/>
    </row>
    <row r="237">
      <c r="A237" s="193" t="n"/>
      <c r="B237" s="193" t="n"/>
      <c r="C237" s="193" t="n"/>
      <c r="D237" s="242">
        <f>IF(C237="","",IFERROR(INDEX('ข้อมูลนักเรียน'!$T$9:$T$13,C237),"ไม่พบเลขที่"))</f>
        <v/>
      </c>
      <c r="E237" s="695" t="n"/>
      <c r="F237" s="192" t="n"/>
      <c r="G237" s="711" t="n"/>
    </row>
    <row r="238">
      <c r="A238" s="193" t="n"/>
      <c r="B238" s="193" t="n"/>
      <c r="C238" s="193" t="n"/>
      <c r="D238" s="242">
        <f>IF(C238="","",IFERROR(INDEX('ข้อมูลนักเรียน'!$T$9:$T$13,C238),"ไม่พบเลขที่"))</f>
        <v/>
      </c>
      <c r="E238" s="695" t="n"/>
      <c r="F238" s="192" t="n"/>
      <c r="G238" s="711" t="n"/>
    </row>
    <row r="239">
      <c r="A239" s="193" t="n"/>
      <c r="B239" s="193" t="n"/>
      <c r="C239" s="193" t="n"/>
      <c r="D239" s="242">
        <f>IF(C239="","",IFERROR(INDEX('ข้อมูลนักเรียน'!$T$9:$T$13,C239),"ไม่พบเลขที่"))</f>
        <v/>
      </c>
      <c r="E239" s="695" t="n"/>
      <c r="F239" s="192" t="n"/>
      <c r="G239" s="711" t="n"/>
    </row>
    <row r="240">
      <c r="A240" s="193" t="n"/>
      <c r="B240" s="193" t="n"/>
      <c r="C240" s="193" t="n"/>
      <c r="D240" s="242">
        <f>IF(C240="","",IFERROR(INDEX('ข้อมูลนักเรียน'!$T$9:$T$13,C240),"ไม่พบเลขที่"))</f>
        <v/>
      </c>
      <c r="E240" s="695" t="n"/>
      <c r="F240" s="192" t="n"/>
      <c r="G240" s="711" t="n"/>
    </row>
    <row r="241">
      <c r="A241" s="193" t="n"/>
      <c r="B241" s="193" t="n"/>
      <c r="C241" s="193" t="n"/>
      <c r="D241" s="242">
        <f>IF(C241="","",IFERROR(INDEX('ข้อมูลนักเรียน'!$T$9:$T$13,C241),"ไม่พบเลขที่"))</f>
        <v/>
      </c>
      <c r="E241" s="695" t="n"/>
      <c r="F241" s="192" t="n"/>
      <c r="G241" s="711" t="n"/>
    </row>
    <row r="242">
      <c r="A242" s="193" t="n"/>
      <c r="B242" s="193" t="n"/>
      <c r="C242" s="193" t="n"/>
      <c r="D242" s="242">
        <f>IF(C242="","",IFERROR(INDEX('ข้อมูลนักเรียน'!$T$9:$T$13,C242),"ไม่พบเลขที่"))</f>
        <v/>
      </c>
      <c r="E242" s="695" t="n"/>
      <c r="F242" s="192" t="n"/>
      <c r="G242" s="711" t="n"/>
    </row>
    <row r="243">
      <c r="A243" s="193" t="n"/>
      <c r="B243" s="193" t="n"/>
      <c r="C243" s="193" t="n"/>
      <c r="D243" s="242">
        <f>IF(C243="","",IFERROR(INDEX('ข้อมูลนักเรียน'!$T$9:$T$13,C243),"ไม่พบเลขที่"))</f>
        <v/>
      </c>
      <c r="E243" s="695" t="n"/>
      <c r="F243" s="192" t="n"/>
      <c r="G243" s="711" t="n"/>
    </row>
    <row r="244">
      <c r="A244" s="193" t="n"/>
      <c r="B244" s="193" t="n"/>
      <c r="C244" s="193" t="n"/>
      <c r="D244" s="242">
        <f>IF(C244="","",IFERROR(INDEX('ข้อมูลนักเรียน'!$T$9:$T$13,C244),"ไม่พบเลขที่"))</f>
        <v/>
      </c>
      <c r="E244" s="695" t="n"/>
      <c r="F244" s="192" t="n"/>
      <c r="G244" s="711" t="n"/>
    </row>
    <row r="245">
      <c r="A245" s="193" t="n"/>
      <c r="B245" s="193" t="n"/>
      <c r="C245" s="193" t="n"/>
      <c r="D245" s="242">
        <f>IF(C245="","",IFERROR(INDEX('ข้อมูลนักเรียน'!$T$9:$T$13,C245),"ไม่พบเลขที่"))</f>
        <v/>
      </c>
      <c r="E245" s="695" t="n"/>
      <c r="F245" s="192" t="n"/>
      <c r="G245" s="711" t="n"/>
    </row>
    <row r="246">
      <c r="A246" s="193" t="n"/>
      <c r="B246" s="193" t="n"/>
      <c r="C246" s="193" t="n"/>
      <c r="D246" s="242">
        <f>IF(C246="","",IFERROR(INDEX('ข้อมูลนักเรียน'!$T$9:$T$13,C246),"ไม่พบเลขที่"))</f>
        <v/>
      </c>
      <c r="E246" s="695" t="n"/>
      <c r="F246" s="192" t="n"/>
      <c r="G246" s="711" t="n"/>
    </row>
    <row r="247">
      <c r="A247" s="193" t="n"/>
      <c r="B247" s="193" t="n"/>
      <c r="C247" s="193" t="n"/>
      <c r="D247" s="242">
        <f>IF(C247="","",IFERROR(INDEX('ข้อมูลนักเรียน'!$T$9:$T$13,C247),"ไม่พบเลขที่"))</f>
        <v/>
      </c>
      <c r="E247" s="695" t="n"/>
      <c r="F247" s="192" t="n"/>
      <c r="G247" s="711" t="n"/>
    </row>
    <row r="248">
      <c r="A248" s="193" t="n"/>
      <c r="B248" s="193" t="n"/>
      <c r="C248" s="193" t="n"/>
      <c r="D248" s="242">
        <f>IF(C248="","",IFERROR(INDEX('ข้อมูลนักเรียน'!$T$9:$T$13,C248),"ไม่พบเลขที่"))</f>
        <v/>
      </c>
      <c r="E248" s="695" t="n"/>
      <c r="F248" s="192" t="n"/>
      <c r="G248" s="711" t="n"/>
    </row>
    <row r="249">
      <c r="A249" s="193" t="n"/>
      <c r="B249" s="193" t="n"/>
      <c r="C249" s="193" t="n"/>
      <c r="D249" s="242">
        <f>IF(C249="","",IFERROR(INDEX('ข้อมูลนักเรียน'!$T$9:$T$13,C249),"ไม่พบเลขที่"))</f>
        <v/>
      </c>
      <c r="E249" s="695" t="n"/>
      <c r="F249" s="192" t="n"/>
      <c r="G249" s="711" t="n"/>
    </row>
    <row r="250">
      <c r="A250" s="193" t="n"/>
      <c r="B250" s="193" t="n"/>
      <c r="C250" s="193" t="n"/>
      <c r="D250" s="242">
        <f>IF(C250="","",IFERROR(INDEX('ข้อมูลนักเรียน'!$T$9:$T$13,C250),"ไม่พบเลขที่"))</f>
        <v/>
      </c>
      <c r="E250" s="695" t="n"/>
      <c r="F250" s="192" t="n"/>
      <c r="G250" s="711" t="n"/>
    </row>
    <row r="251">
      <c r="A251" s="193" t="n"/>
      <c r="B251" s="193" t="n"/>
      <c r="C251" s="193" t="n"/>
      <c r="D251" s="242">
        <f>IF(C251="","",IFERROR(INDEX('ข้อมูลนักเรียน'!$T$9:$T$13,C251),"ไม่พบเลขที่"))</f>
        <v/>
      </c>
      <c r="E251" s="695" t="n"/>
      <c r="F251" s="192" t="n"/>
      <c r="G251" s="711" t="n"/>
    </row>
    <row r="252">
      <c r="A252" s="193" t="n"/>
      <c r="B252" s="193" t="n"/>
      <c r="C252" s="193" t="n"/>
      <c r="D252" s="242">
        <f>IF(C252="","",IFERROR(INDEX('ข้อมูลนักเรียน'!$T$9:$T$13,C252),"ไม่พบเลขที่"))</f>
        <v/>
      </c>
      <c r="E252" s="695" t="n"/>
      <c r="F252" s="192" t="n"/>
      <c r="G252" s="711" t="n"/>
    </row>
    <row r="253">
      <c r="A253" s="193" t="n"/>
      <c r="B253" s="193" t="n"/>
      <c r="C253" s="193" t="n"/>
      <c r="D253" s="242">
        <f>IF(C253="","",IFERROR(INDEX('ข้อมูลนักเรียน'!$T$9:$T$13,C253),"ไม่พบเลขที่"))</f>
        <v/>
      </c>
      <c r="E253" s="695" t="n"/>
      <c r="F253" s="192" t="n"/>
      <c r="G253" s="711" t="n"/>
    </row>
    <row r="254">
      <c r="A254" s="193" t="n"/>
      <c r="B254" s="193" t="n"/>
      <c r="C254" s="193" t="n"/>
      <c r="D254" s="242">
        <f>IF(C254="","",IFERROR(INDEX('ข้อมูลนักเรียน'!$T$9:$T$13,C254),"ไม่พบเลขที่"))</f>
        <v/>
      </c>
      <c r="E254" s="695" t="n"/>
      <c r="F254" s="192" t="n"/>
      <c r="G254" s="711" t="n"/>
    </row>
    <row r="255">
      <c r="A255" s="193" t="n"/>
      <c r="B255" s="193" t="n"/>
      <c r="C255" s="193" t="n"/>
      <c r="D255" s="242">
        <f>IF(C255="","",IFERROR(INDEX('ข้อมูลนักเรียน'!$T$9:$T$13,C255),"ไม่พบเลขที่"))</f>
        <v/>
      </c>
      <c r="E255" s="695" t="n"/>
      <c r="F255" s="192" t="n"/>
      <c r="G255" s="711" t="n"/>
    </row>
    <row r="256">
      <c r="A256" s="193" t="n"/>
      <c r="B256" s="193" t="n"/>
      <c r="C256" s="193" t="n"/>
      <c r="D256" s="242">
        <f>IF(C256="","",IFERROR(INDEX('ข้อมูลนักเรียน'!$T$9:$T$13,C256),"ไม่พบเลขที่"))</f>
        <v/>
      </c>
      <c r="E256" s="695" t="n"/>
      <c r="F256" s="192" t="n"/>
      <c r="G256" s="711" t="n"/>
    </row>
    <row r="257">
      <c r="A257" s="193" t="n"/>
      <c r="B257" s="193" t="n"/>
      <c r="C257" s="193" t="n"/>
      <c r="D257" s="242">
        <f>IF(C257="","",IFERROR(INDEX('ข้อมูลนักเรียน'!$T$9:$T$13,C257),"ไม่พบเลขที่"))</f>
        <v/>
      </c>
      <c r="E257" s="695" t="n"/>
      <c r="F257" s="192" t="n"/>
      <c r="G257" s="711" t="n"/>
    </row>
    <row r="258">
      <c r="A258" s="193" t="n"/>
      <c r="B258" s="193" t="n"/>
      <c r="C258" s="193" t="n"/>
      <c r="D258" s="242">
        <f>IF(C258="","",IFERROR(INDEX('ข้อมูลนักเรียน'!$T$9:$T$13,C258),"ไม่พบเลขที่"))</f>
        <v/>
      </c>
      <c r="E258" s="695" t="n"/>
      <c r="F258" s="192" t="n"/>
      <c r="G258" s="711" t="n"/>
    </row>
    <row r="259">
      <c r="A259" s="193" t="n"/>
      <c r="B259" s="193" t="n"/>
      <c r="C259" s="193" t="n"/>
      <c r="D259" s="242">
        <f>IF(C259="","",IFERROR(INDEX('ข้อมูลนักเรียน'!$T$9:$T$13,C259),"ไม่พบเลขที่"))</f>
        <v/>
      </c>
      <c r="E259" s="695" t="n"/>
      <c r="F259" s="192" t="n"/>
      <c r="G259" s="711" t="n"/>
    </row>
    <row r="260">
      <c r="A260" s="193" t="n"/>
      <c r="B260" s="193" t="n"/>
      <c r="C260" s="193" t="n"/>
      <c r="D260" s="242">
        <f>IF(C260="","",IFERROR(INDEX('ข้อมูลนักเรียน'!$T$9:$T$13,C260),"ไม่พบเลขที่"))</f>
        <v/>
      </c>
      <c r="E260" s="695" t="n"/>
      <c r="F260" s="192" t="n"/>
      <c r="G260" s="711" t="n"/>
    </row>
    <row r="261">
      <c r="A261" s="193" t="n"/>
      <c r="B261" s="193" t="n"/>
      <c r="C261" s="193" t="n"/>
      <c r="D261" s="242">
        <f>IF(C261="","",IFERROR(INDEX('ข้อมูลนักเรียน'!$T$9:$T$13,C261),"ไม่พบเลขที่"))</f>
        <v/>
      </c>
      <c r="E261" s="695" t="n"/>
      <c r="F261" s="192" t="n"/>
      <c r="G261" s="711" t="n"/>
    </row>
    <row r="262">
      <c r="A262" s="193" t="n"/>
      <c r="B262" s="193" t="n"/>
      <c r="C262" s="193" t="n"/>
      <c r="D262" s="242">
        <f>IF(C262="","",IFERROR(INDEX('ข้อมูลนักเรียน'!$T$9:$T$13,C262),"ไม่พบเลขที่"))</f>
        <v/>
      </c>
      <c r="E262" s="695" t="n"/>
      <c r="F262" s="192" t="n"/>
      <c r="G262" s="711" t="n"/>
    </row>
    <row r="263">
      <c r="A263" s="193" t="n"/>
      <c r="B263" s="193" t="n"/>
      <c r="C263" s="193" t="n"/>
      <c r="D263" s="242">
        <f>IF(C263="","",IFERROR(INDEX('ข้อมูลนักเรียน'!$T$9:$T$13,C263),"ไม่พบเลขที่"))</f>
        <v/>
      </c>
      <c r="E263" s="695" t="n"/>
      <c r="F263" s="192" t="n"/>
      <c r="G263" s="711" t="n"/>
    </row>
    <row r="264">
      <c r="A264" s="193" t="n"/>
      <c r="B264" s="193" t="n"/>
      <c r="C264" s="193" t="n"/>
      <c r="D264" s="242">
        <f>IF(C264="","",IFERROR(INDEX('ข้อมูลนักเรียน'!$T$9:$T$13,C264),"ไม่พบเลขที่"))</f>
        <v/>
      </c>
      <c r="E264" s="695" t="n"/>
      <c r="F264" s="192" t="n"/>
      <c r="G264" s="711" t="n"/>
    </row>
    <row r="265">
      <c r="A265" s="193" t="n"/>
      <c r="B265" s="193" t="n"/>
      <c r="C265" s="193" t="n"/>
      <c r="D265" s="242">
        <f>IF(C265="","",IFERROR(INDEX('ข้อมูลนักเรียน'!$T$9:$T$13,C265),"ไม่พบเลขที่"))</f>
        <v/>
      </c>
      <c r="E265" s="695" t="n"/>
      <c r="F265" s="192" t="n"/>
      <c r="G265" s="711" t="n"/>
    </row>
    <row r="266">
      <c r="A266" s="193" t="n"/>
      <c r="B266" s="193" t="n"/>
      <c r="C266" s="193" t="n"/>
      <c r="D266" s="242">
        <f>IF(C266="","",IFERROR(INDEX('ข้อมูลนักเรียน'!$T$9:$T$13,C266),"ไม่พบเลขที่"))</f>
        <v/>
      </c>
      <c r="E266" s="695" t="n"/>
      <c r="F266" s="192" t="n"/>
      <c r="G266" s="711" t="n"/>
    </row>
    <row r="267">
      <c r="A267" s="193" t="n"/>
      <c r="B267" s="193" t="n"/>
      <c r="C267" s="193" t="n"/>
      <c r="D267" s="242">
        <f>IF(C267="","",IFERROR(INDEX('ข้อมูลนักเรียน'!$T$9:$T$13,C267),"ไม่พบเลขที่"))</f>
        <v/>
      </c>
      <c r="E267" s="695" t="n"/>
      <c r="F267" s="192" t="n"/>
      <c r="G267" s="711" t="n"/>
    </row>
    <row r="268">
      <c r="A268" s="193" t="n"/>
      <c r="B268" s="193" t="n"/>
      <c r="C268" s="193" t="n"/>
      <c r="D268" s="242">
        <f>IF(C268="","",IFERROR(INDEX('ข้อมูลนักเรียน'!$T$9:$T$13,C268),"ไม่พบเลขที่"))</f>
        <v/>
      </c>
      <c r="E268" s="695" t="n"/>
      <c r="F268" s="192" t="n"/>
      <c r="G268" s="711" t="n"/>
    </row>
    <row r="269">
      <c r="A269" s="193" t="n"/>
      <c r="B269" s="193" t="n"/>
      <c r="C269" s="193" t="n"/>
      <c r="D269" s="242">
        <f>IF(C269="","",IFERROR(INDEX('ข้อมูลนักเรียน'!$T$9:$T$13,C269),"ไม่พบเลขที่"))</f>
        <v/>
      </c>
      <c r="E269" s="695" t="n"/>
      <c r="F269" s="192" t="n"/>
      <c r="G269" s="711" t="n"/>
    </row>
    <row r="270">
      <c r="A270" s="193" t="n"/>
      <c r="B270" s="193" t="n"/>
      <c r="C270" s="193" t="n"/>
      <c r="D270" s="242">
        <f>IF(C270="","",IFERROR(INDEX('ข้อมูลนักเรียน'!$T$9:$T$13,C270),"ไม่พบเลขที่"))</f>
        <v/>
      </c>
      <c r="E270" s="695" t="n"/>
      <c r="F270" s="192" t="n"/>
      <c r="G270" s="711" t="n"/>
    </row>
    <row r="271">
      <c r="A271" s="193" t="n"/>
      <c r="B271" s="193" t="n"/>
      <c r="C271" s="193" t="n"/>
      <c r="D271" s="242">
        <f>IF(C271="","",IFERROR(INDEX('ข้อมูลนักเรียน'!$T$9:$T$13,C271),"ไม่พบเลขที่"))</f>
        <v/>
      </c>
      <c r="E271" s="695" t="n"/>
      <c r="F271" s="192" t="n"/>
      <c r="G271" s="711" t="n"/>
    </row>
    <row r="272">
      <c r="A272" s="193" t="n"/>
      <c r="B272" s="193" t="n"/>
      <c r="C272" s="193" t="n"/>
      <c r="D272" s="242">
        <f>IF(C272="","",IFERROR(INDEX('ข้อมูลนักเรียน'!$T$9:$T$13,C272),"ไม่พบเลขที่"))</f>
        <v/>
      </c>
      <c r="E272" s="695" t="n"/>
      <c r="F272" s="192" t="n"/>
      <c r="G272" s="711" t="n"/>
    </row>
    <row r="273">
      <c r="A273" s="193" t="n"/>
      <c r="B273" s="193" t="n"/>
      <c r="C273" s="193" t="n"/>
      <c r="D273" s="242">
        <f>IF(C273="","",IFERROR(INDEX('ข้อมูลนักเรียน'!$T$9:$T$13,C273),"ไม่พบเลขที่"))</f>
        <v/>
      </c>
      <c r="E273" s="695" t="n"/>
      <c r="F273" s="192" t="n"/>
      <c r="G273" s="711" t="n"/>
    </row>
    <row r="274">
      <c r="A274" s="193" t="n"/>
      <c r="B274" s="193" t="n"/>
      <c r="C274" s="193" t="n"/>
      <c r="D274" s="242">
        <f>IF(C274="","",IFERROR(INDEX('ข้อมูลนักเรียน'!$T$9:$T$13,C274),"ไม่พบเลขที่"))</f>
        <v/>
      </c>
      <c r="E274" s="695" t="n"/>
      <c r="F274" s="192" t="n"/>
      <c r="G274" s="711" t="n"/>
    </row>
    <row r="275">
      <c r="A275" s="193" t="n"/>
      <c r="B275" s="193" t="n"/>
      <c r="C275" s="193" t="n"/>
      <c r="D275" s="242">
        <f>IF(C275="","",IFERROR(INDEX('ข้อมูลนักเรียน'!$T$9:$T$13,C275),"ไม่พบเลขที่"))</f>
        <v/>
      </c>
      <c r="E275" s="695" t="n"/>
      <c r="F275" s="192" t="n"/>
      <c r="G275" s="711" t="n"/>
    </row>
    <row r="276">
      <c r="A276" s="193" t="n"/>
      <c r="B276" s="193" t="n"/>
      <c r="C276" s="193" t="n"/>
      <c r="D276" s="242">
        <f>IF(C276="","",IFERROR(INDEX('ข้อมูลนักเรียน'!$T$9:$T$13,C276),"ไม่พบเลขที่"))</f>
        <v/>
      </c>
      <c r="E276" s="695" t="n"/>
      <c r="F276" s="192" t="n"/>
      <c r="G276" s="711" t="n"/>
    </row>
    <row r="277">
      <c r="A277" s="193" t="n"/>
      <c r="B277" s="193" t="n"/>
      <c r="C277" s="193" t="n"/>
      <c r="D277" s="242">
        <f>IF(C277="","",IFERROR(INDEX('ข้อมูลนักเรียน'!$T$9:$T$13,C277),"ไม่พบเลขที่"))</f>
        <v/>
      </c>
      <c r="E277" s="695" t="n"/>
      <c r="F277" s="192" t="n"/>
      <c r="G277" s="711" t="n"/>
    </row>
    <row r="278">
      <c r="A278" s="193" t="n"/>
      <c r="B278" s="193" t="n"/>
      <c r="C278" s="193" t="n"/>
      <c r="D278" s="242">
        <f>IF(C278="","",IFERROR(INDEX('ข้อมูลนักเรียน'!$T$9:$T$13,C278),"ไม่พบเลขที่"))</f>
        <v/>
      </c>
      <c r="E278" s="695" t="n"/>
      <c r="F278" s="192" t="n"/>
      <c r="G278" s="711" t="n"/>
    </row>
    <row r="279">
      <c r="A279" s="193" t="n"/>
      <c r="B279" s="193" t="n"/>
      <c r="C279" s="193" t="n"/>
      <c r="D279" s="242">
        <f>IF(C279="","",IFERROR(INDEX('ข้อมูลนักเรียน'!$T$9:$T$13,C279),"ไม่พบเลขที่"))</f>
        <v/>
      </c>
      <c r="E279" s="695" t="n"/>
      <c r="F279" s="192" t="n"/>
      <c r="G279" s="711" t="n"/>
    </row>
    <row r="280">
      <c r="A280" s="193" t="n"/>
      <c r="B280" s="193" t="n"/>
      <c r="C280" s="193" t="n"/>
      <c r="D280" s="242">
        <f>IF(C280="","",IFERROR(INDEX('ข้อมูลนักเรียน'!$T$9:$T$13,C280),"ไม่พบเลขที่"))</f>
        <v/>
      </c>
      <c r="E280" s="695" t="n"/>
      <c r="F280" s="192" t="n"/>
      <c r="G280" s="711" t="n"/>
    </row>
    <row r="281">
      <c r="A281" s="193" t="n"/>
      <c r="B281" s="193" t="n"/>
      <c r="C281" s="193" t="n"/>
      <c r="D281" s="242">
        <f>IF(C281="","",IFERROR(INDEX('ข้อมูลนักเรียน'!$T$9:$T$13,C281),"ไม่พบเลขที่"))</f>
        <v/>
      </c>
      <c r="E281" s="695" t="n"/>
      <c r="F281" s="192" t="n"/>
      <c r="G281" s="711" t="n"/>
    </row>
    <row r="282">
      <c r="A282" s="193" t="n"/>
      <c r="B282" s="193" t="n"/>
      <c r="C282" s="193" t="n"/>
      <c r="D282" s="242">
        <f>IF(C282="","",IFERROR(INDEX('ข้อมูลนักเรียน'!$T$9:$T$13,C282),"ไม่พบเลขที่"))</f>
        <v/>
      </c>
      <c r="E282" s="695" t="n"/>
      <c r="F282" s="192" t="n"/>
      <c r="G282" s="711" t="n"/>
    </row>
    <row r="283">
      <c r="A283" s="193" t="n"/>
      <c r="B283" s="193" t="n"/>
      <c r="C283" s="193" t="n"/>
      <c r="D283" s="242">
        <f>IF(C283="","",IFERROR(INDEX('ข้อมูลนักเรียน'!$T$9:$T$13,C283),"ไม่พบเลขที่"))</f>
        <v/>
      </c>
      <c r="E283" s="695" t="n"/>
      <c r="F283" s="192" t="n"/>
      <c r="G283" s="711" t="n"/>
    </row>
    <row r="284">
      <c r="A284" s="193" t="n"/>
      <c r="B284" s="193" t="n"/>
      <c r="C284" s="193" t="n"/>
      <c r="D284" s="242">
        <f>IF(C284="","",IFERROR(INDEX('ข้อมูลนักเรียน'!$T$9:$T$13,C284),"ไม่พบเลขที่"))</f>
        <v/>
      </c>
      <c r="E284" s="695" t="n"/>
      <c r="F284" s="192" t="n"/>
      <c r="G284" s="711" t="n"/>
    </row>
    <row r="285">
      <c r="A285" s="193" t="n"/>
      <c r="B285" s="193" t="n"/>
      <c r="C285" s="193" t="n"/>
      <c r="D285" s="242">
        <f>IF(C285="","",IFERROR(INDEX('ข้อมูลนักเรียน'!$T$9:$T$13,C285),"ไม่พบเลขที่"))</f>
        <v/>
      </c>
      <c r="E285" s="695" t="n"/>
      <c r="F285" s="192" t="n"/>
      <c r="G285" s="711" t="n"/>
    </row>
    <row r="286">
      <c r="A286" s="193" t="n"/>
      <c r="B286" s="193" t="n"/>
      <c r="C286" s="193" t="n"/>
      <c r="D286" s="242">
        <f>IF(C286="","",IFERROR(INDEX('ข้อมูลนักเรียน'!$T$9:$T$13,C286),"ไม่พบเลขที่"))</f>
        <v/>
      </c>
      <c r="E286" s="695" t="n"/>
      <c r="F286" s="192" t="n"/>
      <c r="G286" s="711" t="n"/>
    </row>
    <row r="287">
      <c r="A287" s="193" t="n"/>
      <c r="B287" s="193" t="n"/>
      <c r="C287" s="193" t="n"/>
      <c r="D287" s="242">
        <f>IF(C287="","",IFERROR(INDEX('ข้อมูลนักเรียน'!$T$9:$T$13,C287),"ไม่พบเลขที่"))</f>
        <v/>
      </c>
      <c r="E287" s="695" t="n"/>
      <c r="F287" s="192" t="n"/>
      <c r="G287" s="711" t="n"/>
    </row>
    <row r="288">
      <c r="A288" s="193" t="n"/>
      <c r="B288" s="193" t="n"/>
      <c r="C288" s="193" t="n"/>
      <c r="D288" s="242">
        <f>IF(C288="","",IFERROR(INDEX('ข้อมูลนักเรียน'!$T$9:$T$13,C288),"ไม่พบเลขที่"))</f>
        <v/>
      </c>
      <c r="E288" s="695" t="n"/>
      <c r="F288" s="192" t="n"/>
      <c r="G288" s="711" t="n"/>
    </row>
    <row r="289">
      <c r="A289" s="193" t="n"/>
      <c r="B289" s="193" t="n"/>
      <c r="C289" s="193" t="n"/>
      <c r="D289" s="242">
        <f>IF(C289="","",IFERROR(INDEX('ข้อมูลนักเรียน'!$T$9:$T$13,C289),"ไม่พบเลขที่"))</f>
        <v/>
      </c>
      <c r="E289" s="695" t="n"/>
      <c r="F289" s="192" t="n"/>
      <c r="G289" s="711" t="n"/>
    </row>
    <row r="290">
      <c r="A290" s="193" t="n"/>
      <c r="B290" s="193" t="n"/>
      <c r="C290" s="193" t="n"/>
      <c r="D290" s="242">
        <f>IF(C290="","",IFERROR(INDEX('ข้อมูลนักเรียน'!$T$9:$T$13,C290),"ไม่พบเลขที่"))</f>
        <v/>
      </c>
      <c r="E290" s="695" t="n"/>
      <c r="F290" s="192" t="n"/>
      <c r="G290" s="711" t="n"/>
    </row>
    <row r="291">
      <c r="A291" s="193" t="n"/>
      <c r="B291" s="193" t="n"/>
      <c r="C291" s="193" t="n"/>
      <c r="D291" s="242">
        <f>IF(C291="","",IFERROR(INDEX('ข้อมูลนักเรียน'!$T$9:$T$13,C291),"ไม่พบเลขที่"))</f>
        <v/>
      </c>
      <c r="E291" s="695" t="n"/>
      <c r="F291" s="192" t="n"/>
      <c r="G291" s="711" t="n"/>
    </row>
    <row r="292">
      <c r="A292" s="193" t="n"/>
      <c r="B292" s="193" t="n"/>
      <c r="C292" s="193" t="n"/>
      <c r="D292" s="242">
        <f>IF(C292="","",IFERROR(INDEX('ข้อมูลนักเรียน'!$T$9:$T$13,C292),"ไม่พบเลขที่"))</f>
        <v/>
      </c>
      <c r="E292" s="695" t="n"/>
      <c r="F292" s="192" t="n"/>
      <c r="G292" s="711" t="n"/>
    </row>
    <row r="293">
      <c r="A293" s="193" t="n"/>
      <c r="B293" s="193" t="n"/>
      <c r="C293" s="193" t="n"/>
      <c r="D293" s="242">
        <f>IF(C293="","",IFERROR(INDEX('ข้อมูลนักเรียน'!$T$9:$T$13,C293),"ไม่พบเลขที่"))</f>
        <v/>
      </c>
      <c r="E293" s="695" t="n"/>
      <c r="F293" s="192" t="n"/>
      <c r="G293" s="711" t="n"/>
    </row>
    <row r="294">
      <c r="A294" s="193" t="n"/>
      <c r="B294" s="193" t="n"/>
      <c r="C294" s="193" t="n"/>
      <c r="D294" s="242">
        <f>IF(C294="","",IFERROR(INDEX('ข้อมูลนักเรียน'!$T$9:$T$13,C294),"ไม่พบเลขที่"))</f>
        <v/>
      </c>
      <c r="E294" s="695" t="n"/>
      <c r="F294" s="192" t="n"/>
      <c r="G294" s="711" t="n"/>
    </row>
    <row r="295">
      <c r="A295" s="193" t="n"/>
      <c r="B295" s="193" t="n"/>
      <c r="C295" s="193" t="n"/>
      <c r="D295" s="242">
        <f>IF(C295="","",IFERROR(INDEX('ข้อมูลนักเรียน'!$T$9:$T$13,C295),"ไม่พบเลขที่"))</f>
        <v/>
      </c>
      <c r="E295" s="695" t="n"/>
      <c r="F295" s="192" t="n"/>
      <c r="G295" s="711" t="n"/>
    </row>
    <row r="296">
      <c r="A296" s="193" t="n"/>
      <c r="B296" s="193" t="n"/>
      <c r="C296" s="193" t="n"/>
      <c r="D296" s="242">
        <f>IF(C296="","",IFERROR(INDEX('ข้อมูลนักเรียน'!$T$9:$T$13,C296),"ไม่พบเลขที่"))</f>
        <v/>
      </c>
      <c r="E296" s="695" t="n"/>
      <c r="F296" s="192" t="n"/>
      <c r="G296" s="711" t="n"/>
    </row>
    <row r="297">
      <c r="A297" s="193" t="n"/>
      <c r="B297" s="193" t="n"/>
      <c r="C297" s="193" t="n"/>
      <c r="D297" s="242">
        <f>IF(C297="","",IFERROR(INDEX('ข้อมูลนักเรียน'!$T$9:$T$13,C297),"ไม่พบเลขที่"))</f>
        <v/>
      </c>
      <c r="E297" s="695" t="n"/>
      <c r="F297" s="192" t="n"/>
      <c r="G297" s="711" t="n"/>
    </row>
    <row r="298">
      <c r="A298" s="193" t="n"/>
      <c r="B298" s="193" t="n"/>
      <c r="C298" s="193" t="n"/>
      <c r="D298" s="242">
        <f>IF(C298="","",IFERROR(INDEX('ข้อมูลนักเรียน'!$T$9:$T$13,C298),"ไม่พบเลขที่"))</f>
        <v/>
      </c>
      <c r="E298" s="695" t="n"/>
      <c r="F298" s="192" t="n"/>
      <c r="G298" s="711" t="n"/>
    </row>
    <row r="299">
      <c r="A299" s="193" t="n"/>
      <c r="B299" s="193" t="n"/>
      <c r="C299" s="193" t="n"/>
      <c r="D299" s="242">
        <f>IF(C299="","",IFERROR(INDEX('ข้อมูลนักเรียน'!$T$9:$T$13,C299),"ไม่พบเลขที่"))</f>
        <v/>
      </c>
      <c r="E299" s="695" t="n"/>
      <c r="F299" s="192" t="n"/>
      <c r="G299" s="711" t="n"/>
    </row>
    <row r="300">
      <c r="A300" s="193" t="n"/>
      <c r="B300" s="193" t="n"/>
      <c r="C300" s="193" t="n"/>
      <c r="D300" s="242">
        <f>IF(C300="","",IFERROR(INDEX('ข้อมูลนักเรียน'!$T$9:$T$13,C300),"ไม่พบเลขที่"))</f>
        <v/>
      </c>
      <c r="E300" s="695" t="n"/>
      <c r="F300" s="192" t="n"/>
      <c r="G300" s="711" t="n"/>
    </row>
    <row r="301">
      <c r="A301" s="193" t="n"/>
      <c r="B301" s="193" t="n"/>
      <c r="C301" s="193" t="n"/>
      <c r="D301" s="242">
        <f>IF(C301="","",IFERROR(INDEX('ข้อมูลนักเรียน'!$T$9:$T$13,C301),"ไม่พบเลขที่"))</f>
        <v/>
      </c>
      <c r="E301" s="695" t="n"/>
      <c r="F301" s="192" t="n"/>
      <c r="G301" s="711" t="n"/>
    </row>
    <row r="302">
      <c r="A302" s="193" t="n"/>
      <c r="B302" s="193" t="n"/>
      <c r="C302" s="193" t="n"/>
      <c r="D302" s="242">
        <f>IF(C302="","",IFERROR(INDEX('ข้อมูลนักเรียน'!$T$9:$T$13,C302),"ไม่พบเลขที่"))</f>
        <v/>
      </c>
      <c r="E302" s="695" t="n"/>
      <c r="F302" s="192" t="n"/>
      <c r="G302" s="711" t="n"/>
    </row>
    <row r="303">
      <c r="A303" s="193" t="n"/>
      <c r="B303" s="193" t="n"/>
      <c r="C303" s="193" t="n"/>
      <c r="D303" s="242">
        <f>IF(C303="","",IFERROR(INDEX('ข้อมูลนักเรียน'!$T$9:$T$13,C303),"ไม่พบเลขที่"))</f>
        <v/>
      </c>
      <c r="E303" s="695" t="n"/>
      <c r="F303" s="192" t="n"/>
      <c r="G303" s="711" t="n"/>
    </row>
    <row r="304">
      <c r="A304" s="193" t="n"/>
      <c r="B304" s="193" t="n"/>
      <c r="C304" s="193" t="n"/>
      <c r="D304" s="242">
        <f>IF(C304="","",IFERROR(INDEX('ข้อมูลนักเรียน'!$T$9:$T$13,C304),"ไม่พบเลขที่"))</f>
        <v/>
      </c>
      <c r="E304" s="695" t="n"/>
      <c r="F304" s="192" t="n"/>
      <c r="G304" s="711" t="n"/>
    </row>
    <row r="305">
      <c r="A305" s="193" t="n"/>
      <c r="B305" s="193" t="n"/>
      <c r="C305" s="193" t="n"/>
      <c r="D305" s="242">
        <f>IF(C305="","",IFERROR(INDEX('ข้อมูลนักเรียน'!$T$9:$T$13,C305),"ไม่พบเลขที่"))</f>
        <v/>
      </c>
      <c r="E305" s="695" t="n"/>
      <c r="F305" s="192" t="n"/>
      <c r="G305" s="711" t="n"/>
    </row>
    <row r="306">
      <c r="A306" s="193" t="n"/>
      <c r="B306" s="193" t="n"/>
      <c r="C306" s="193" t="n"/>
      <c r="D306" s="242">
        <f>IF(C306="","",IFERROR(INDEX('ข้อมูลนักเรียน'!$T$9:$T$13,C306),"ไม่พบเลขที่"))</f>
        <v/>
      </c>
      <c r="E306" s="695" t="n"/>
      <c r="F306" s="192" t="n"/>
      <c r="G306" s="711" t="n"/>
    </row>
    <row r="307">
      <c r="A307" s="712" t="inlineStr">
        <is>
          <t>รวมถอนทั้งปี</t>
        </is>
      </c>
      <c r="E307" s="713">
        <f>SUM(E7:E306)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8">
    <mergeCell ref="A5:A6"/>
    <mergeCell ref="G5:G6"/>
    <mergeCell ref="E5:E6"/>
    <mergeCell ref="C5:C6"/>
    <mergeCell ref="F5:F6"/>
    <mergeCell ref="A307:D307"/>
    <mergeCell ref="B5:B6"/>
    <mergeCell ref="D5:D6"/>
  </mergeCells>
  <dataValidations count="4">
    <dataValidation sqref="A7:A306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B7:B306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"พฤษภาคม,มิถุนายน,กรกฎาคม,สิงหาคม,กันยายน,ตุลาคม,พฤศจิกายน,ธันวาคม,มกราคม,กุมภาพันธ์,มีนาคม"</formula1>
    </dataValidation>
    <dataValidation sqref="C7:C306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5</formula2>
    </dataValidation>
    <dataValidation sqref="E7:E306" showDropDown="0" showInputMessage="0" showErrorMessage="0" allowBlank="1" errorTitle="ตรวจสอบข้อมูล" error="ข้อมูลไม่ถูกต้อง กรุณาเลือกจากรายการ" type="decimal" operator="between">
      <formula1>0</formula1>
      <formula2>100000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0" fitToWidth="1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tabColor rgb="00FCC850"/>
    <outlinePr summaryBelow="1" summaryRight="1"/>
    <pageSetUpPr fitToPage="1"/>
  </sheetPr>
  <dimension ref="A1:Q18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9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10" customWidth="1" min="15" max="15"/>
    <col width="10" customWidth="1" min="16" max="16"/>
    <col width="10" customWidth="1" min="17" max="17"/>
  </cols>
  <sheetData>
    <row r="1" ht="48" customHeight="1">
      <c r="A1" s="677" t="inlineStr">
        <is>
          <t>🏠</t>
        </is>
      </c>
      <c r="B1" s="678" t="n"/>
      <c r="C1" s="678" t="n"/>
      <c r="D1" s="678" t="n"/>
      <c r="E1" s="678" t="n"/>
      <c r="F1" s="678" t="n"/>
      <c r="G1" s="678" t="n"/>
      <c r="H1" s="678" t="n"/>
      <c r="I1" s="678" t="n"/>
      <c r="J1" s="678" t="n"/>
      <c r="K1" s="678" t="n"/>
      <c r="L1" s="678" t="n"/>
      <c r="M1" s="678" t="n"/>
      <c r="N1" s="678" t="n"/>
      <c r="O1" s="678" t="n"/>
      <c r="P1" s="678" t="n"/>
      <c r="Q1" s="678" t="n"/>
    </row>
    <row r="2" ht="20" customHeight="1">
      <c r="A2" s="679" t="inlineStr">
        <is>
          <t>หน้าหลัก</t>
        </is>
      </c>
      <c r="B2" s="680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681" t="n"/>
      <c r="D2" s="681" t="n"/>
      <c r="E2" s="681" t="n"/>
      <c r="F2" s="681" t="n"/>
      <c r="G2" s="681" t="n"/>
      <c r="H2" s="681" t="n"/>
      <c r="I2" s="681" t="n"/>
      <c r="J2" s="681" t="n"/>
      <c r="K2" s="681" t="n"/>
      <c r="L2" s="681" t="n"/>
      <c r="M2" s="681" t="n"/>
      <c r="N2" s="681" t="n"/>
      <c r="O2" s="681" t="n"/>
      <c r="P2" s="681" t="n"/>
      <c r="Q2" s="681" t="n"/>
    </row>
    <row r="3">
      <c r="B3" s="682" t="inlineStr">
        <is>
          <t>คำนวณอัตโนมัติจากหน้าออมเงินและหน้าถอนเงิน</t>
        </is>
      </c>
    </row>
    <row r="4"/>
    <row r="5" ht="22" customHeight="1">
      <c r="A5" s="683" t="inlineStr">
        <is>
          <t>เลขที่</t>
        </is>
      </c>
      <c r="B5" s="683" t="inlineStr">
        <is>
          <t>ชื่อ - สกุล</t>
        </is>
      </c>
      <c r="C5" s="684" t="inlineStr">
        <is>
          <t>ยอดยกมา
(บาท)</t>
        </is>
      </c>
      <c r="D5" s="714" t="inlineStr">
        <is>
          <t>เงินฝากรายเดือน (บาท)</t>
        </is>
      </c>
      <c r="O5" s="715" t="inlineStr">
        <is>
          <t>รวมฝาก</t>
        </is>
      </c>
      <c r="P5" s="716" t="inlineStr">
        <is>
          <t>รวมถอน</t>
        </is>
      </c>
      <c r="Q5" s="717" t="inlineStr">
        <is>
          <t>คงเหลือ</t>
        </is>
      </c>
    </row>
    <row r="6">
      <c r="D6" s="718" t="inlineStr">
        <is>
          <t>พ.ค.</t>
        </is>
      </c>
      <c r="E6" s="718" t="inlineStr">
        <is>
          <t>มิ.ย.</t>
        </is>
      </c>
      <c r="F6" s="718" t="inlineStr">
        <is>
          <t>ก.ค.</t>
        </is>
      </c>
      <c r="G6" s="718" t="inlineStr">
        <is>
          <t>ส.ค.</t>
        </is>
      </c>
      <c r="H6" s="718" t="inlineStr">
        <is>
          <t>ก.ย.</t>
        </is>
      </c>
      <c r="I6" s="718" t="inlineStr">
        <is>
          <t>ต.ค.</t>
        </is>
      </c>
      <c r="J6" s="718" t="inlineStr">
        <is>
          <t>พ.ย.</t>
        </is>
      </c>
      <c r="K6" s="718" t="inlineStr">
        <is>
          <t>ธ.ค.</t>
        </is>
      </c>
      <c r="L6" s="718" t="inlineStr">
        <is>
          <t>ม.ค.</t>
        </is>
      </c>
      <c r="M6" s="718" t="inlineStr">
        <is>
          <t>ก.พ.</t>
        </is>
      </c>
      <c r="N6" s="718" t="inlineStr">
        <is>
          <t>มี.ค.</t>
        </is>
      </c>
    </row>
    <row r="7"/>
    <row r="8"/>
    <row r="9">
      <c r="A9" s="218" t="n">
        <v>1</v>
      </c>
      <c r="B9" s="219">
        <f>'ข้อมูลนักเรียน'!T9</f>
        <v/>
      </c>
      <c r="C9" s="146">
        <f>IF(B9="","",N('ออมเงิน-ภ1'!C9))</f>
        <v/>
      </c>
      <c r="D9" s="146">
        <f>IF($B9="","",N('ออมเงิน-ภ1'!AI9))</f>
        <v/>
      </c>
      <c r="E9" s="146">
        <f>IF($B9="","",N('ออมเงิน-ภ1'!BQ9))</f>
        <v/>
      </c>
      <c r="F9" s="146">
        <f>IF($B9="","",N('ออมเงิน-ภ1'!CY9))</f>
        <v/>
      </c>
      <c r="G9" s="146">
        <f>IF($B9="","",N('ออมเงิน-ภ1'!EG9))</f>
        <v/>
      </c>
      <c r="H9" s="146">
        <f>IF($B9="","",N('ออมเงิน-ภ1'!FO9))</f>
        <v/>
      </c>
      <c r="I9" s="146">
        <f>IF($B9="","",N('ออมเงิน-ภ1'!GW9))</f>
        <v/>
      </c>
      <c r="J9" s="146">
        <f>IF($B9="","",N('ออมเงิน-ภ2'!AI9))</f>
        <v/>
      </c>
      <c r="K9" s="146">
        <f>IF($B9="","",N('ออมเงิน-ภ2'!BQ9))</f>
        <v/>
      </c>
      <c r="L9" s="146">
        <f>IF($B9="","",N('ออมเงิน-ภ2'!CY9))</f>
        <v/>
      </c>
      <c r="M9" s="146">
        <f>IF($B9="","",N('ออมเงิน-ภ2'!EG9))</f>
        <v/>
      </c>
      <c r="N9" s="146">
        <f>IF($B9="","",N('ออมเงิน-ภ2'!FO9))</f>
        <v/>
      </c>
      <c r="O9" s="719">
        <f>IF($B9="","",SUM(D9:N9))</f>
        <v/>
      </c>
      <c r="P9" s="720">
        <f>IF($B9="","",SUMIF('ถอนเงิน'!$C$7:$C$306,$A9,'ถอนเงิน'!$E$7:$E$306))</f>
        <v/>
      </c>
      <c r="Q9" s="713">
        <f>IF($B9="","",C9+O9-P9)</f>
        <v/>
      </c>
    </row>
    <row r="10">
      <c r="A10" s="226" t="n">
        <v>2</v>
      </c>
      <c r="B10" s="227">
        <f>'ข้อมูลนักเรียน'!T10</f>
        <v/>
      </c>
      <c r="C10" s="146">
        <f>IF(B10="","",N('ออมเงิน-ภ1'!C10))</f>
        <v/>
      </c>
      <c r="D10" s="146">
        <f>IF($B10="","",N('ออมเงิน-ภ1'!AI10))</f>
        <v/>
      </c>
      <c r="E10" s="146">
        <f>IF($B10="","",N('ออมเงิน-ภ1'!BQ10))</f>
        <v/>
      </c>
      <c r="F10" s="146">
        <f>IF($B10="","",N('ออมเงิน-ภ1'!CY10))</f>
        <v/>
      </c>
      <c r="G10" s="146">
        <f>IF($B10="","",N('ออมเงิน-ภ1'!EG10))</f>
        <v/>
      </c>
      <c r="H10" s="146">
        <f>IF($B10="","",N('ออมเงิน-ภ1'!FO10))</f>
        <v/>
      </c>
      <c r="I10" s="146">
        <f>IF($B10="","",N('ออมเงิน-ภ1'!GW10))</f>
        <v/>
      </c>
      <c r="J10" s="146">
        <f>IF($B10="","",N('ออมเงิน-ภ2'!AI10))</f>
        <v/>
      </c>
      <c r="K10" s="146">
        <f>IF($B10="","",N('ออมเงิน-ภ2'!BQ10))</f>
        <v/>
      </c>
      <c r="L10" s="146">
        <f>IF($B10="","",N('ออมเงิน-ภ2'!CY10))</f>
        <v/>
      </c>
      <c r="M10" s="146">
        <f>IF($B10="","",N('ออมเงิน-ภ2'!EG10))</f>
        <v/>
      </c>
      <c r="N10" s="146">
        <f>IF($B10="","",N('ออมเงิน-ภ2'!FO10))</f>
        <v/>
      </c>
      <c r="O10" s="719">
        <f>IF($B10="","",SUM(D10:N10))</f>
        <v/>
      </c>
      <c r="P10" s="720">
        <f>IF($B10="","",SUMIF('ถอนเงิน'!$C$7:$C$306,$A10,'ถอนเงิน'!$E$7:$E$306))</f>
        <v/>
      </c>
      <c r="Q10" s="713">
        <f>IF($B10="","",C10+O10-P10)</f>
        <v/>
      </c>
    </row>
    <row r="11">
      <c r="A11" s="218" t="n">
        <v>3</v>
      </c>
      <c r="B11" s="219">
        <f>'ข้อมูลนักเรียน'!T11</f>
        <v/>
      </c>
      <c r="C11" s="146">
        <f>IF(B11="","",N('ออมเงิน-ภ1'!C11))</f>
        <v/>
      </c>
      <c r="D11" s="146">
        <f>IF($B11="","",N('ออมเงิน-ภ1'!AI11))</f>
        <v/>
      </c>
      <c r="E11" s="146">
        <f>IF($B11="","",N('ออมเงิน-ภ1'!BQ11))</f>
        <v/>
      </c>
      <c r="F11" s="146">
        <f>IF($B11="","",N('ออมเงิน-ภ1'!CY11))</f>
        <v/>
      </c>
      <c r="G11" s="146">
        <f>IF($B11="","",N('ออมเงิน-ภ1'!EG11))</f>
        <v/>
      </c>
      <c r="H11" s="146">
        <f>IF($B11="","",N('ออมเงิน-ภ1'!FO11))</f>
        <v/>
      </c>
      <c r="I11" s="146">
        <f>IF($B11="","",N('ออมเงิน-ภ1'!GW11))</f>
        <v/>
      </c>
      <c r="J11" s="146">
        <f>IF($B11="","",N('ออมเงิน-ภ2'!AI11))</f>
        <v/>
      </c>
      <c r="K11" s="146">
        <f>IF($B11="","",N('ออมเงิน-ภ2'!BQ11))</f>
        <v/>
      </c>
      <c r="L11" s="146">
        <f>IF($B11="","",N('ออมเงิน-ภ2'!CY11))</f>
        <v/>
      </c>
      <c r="M11" s="146">
        <f>IF($B11="","",N('ออมเงิน-ภ2'!EG11))</f>
        <v/>
      </c>
      <c r="N11" s="146">
        <f>IF($B11="","",N('ออมเงิน-ภ2'!FO11))</f>
        <v/>
      </c>
      <c r="O11" s="719">
        <f>IF($B11="","",SUM(D11:N11))</f>
        <v/>
      </c>
      <c r="P11" s="720">
        <f>IF($B11="","",SUMIF('ถอนเงิน'!$C$7:$C$306,$A11,'ถอนเงิน'!$E$7:$E$306))</f>
        <v/>
      </c>
      <c r="Q11" s="713">
        <f>IF($B11="","",C11+O11-P11)</f>
        <v/>
      </c>
    </row>
    <row r="12">
      <c r="A12" s="226" t="n">
        <v>4</v>
      </c>
      <c r="B12" s="227">
        <f>'ข้อมูลนักเรียน'!T12</f>
        <v/>
      </c>
      <c r="C12" s="146">
        <f>IF(B12="","",N('ออมเงิน-ภ1'!C12))</f>
        <v/>
      </c>
      <c r="D12" s="146">
        <f>IF($B12="","",N('ออมเงิน-ภ1'!AI12))</f>
        <v/>
      </c>
      <c r="E12" s="146">
        <f>IF($B12="","",N('ออมเงิน-ภ1'!BQ12))</f>
        <v/>
      </c>
      <c r="F12" s="146">
        <f>IF($B12="","",N('ออมเงิน-ภ1'!CY12))</f>
        <v/>
      </c>
      <c r="G12" s="146">
        <f>IF($B12="","",N('ออมเงิน-ภ1'!EG12))</f>
        <v/>
      </c>
      <c r="H12" s="146">
        <f>IF($B12="","",N('ออมเงิน-ภ1'!FO12))</f>
        <v/>
      </c>
      <c r="I12" s="146">
        <f>IF($B12="","",N('ออมเงิน-ภ1'!GW12))</f>
        <v/>
      </c>
      <c r="J12" s="146">
        <f>IF($B12="","",N('ออมเงิน-ภ2'!AI12))</f>
        <v/>
      </c>
      <c r="K12" s="146">
        <f>IF($B12="","",N('ออมเงิน-ภ2'!BQ12))</f>
        <v/>
      </c>
      <c r="L12" s="146">
        <f>IF($B12="","",N('ออมเงิน-ภ2'!CY12))</f>
        <v/>
      </c>
      <c r="M12" s="146">
        <f>IF($B12="","",N('ออมเงิน-ภ2'!EG12))</f>
        <v/>
      </c>
      <c r="N12" s="146">
        <f>IF($B12="","",N('ออมเงิน-ภ2'!FO12))</f>
        <v/>
      </c>
      <c r="O12" s="719">
        <f>IF($B12="","",SUM(D12:N12))</f>
        <v/>
      </c>
      <c r="P12" s="720">
        <f>IF($B12="","",SUMIF('ถอนเงิน'!$C$7:$C$306,$A12,'ถอนเงิน'!$E$7:$E$306))</f>
        <v/>
      </c>
      <c r="Q12" s="713">
        <f>IF($B12="","",C12+O12-P12)</f>
        <v/>
      </c>
    </row>
    <row r="13">
      <c r="A13" s="218" t="n">
        <v>5</v>
      </c>
      <c r="B13" s="219">
        <f>'ข้อมูลนักเรียน'!T13</f>
        <v/>
      </c>
      <c r="C13" s="146">
        <f>IF(B13="","",N('ออมเงิน-ภ1'!C13))</f>
        <v/>
      </c>
      <c r="D13" s="146">
        <f>IF($B13="","",N('ออมเงิน-ภ1'!AI13))</f>
        <v/>
      </c>
      <c r="E13" s="146">
        <f>IF($B13="","",N('ออมเงิน-ภ1'!BQ13))</f>
        <v/>
      </c>
      <c r="F13" s="146">
        <f>IF($B13="","",N('ออมเงิน-ภ1'!CY13))</f>
        <v/>
      </c>
      <c r="G13" s="146">
        <f>IF($B13="","",N('ออมเงิน-ภ1'!EG13))</f>
        <v/>
      </c>
      <c r="H13" s="146">
        <f>IF($B13="","",N('ออมเงิน-ภ1'!FO13))</f>
        <v/>
      </c>
      <c r="I13" s="146">
        <f>IF($B13="","",N('ออมเงิน-ภ1'!GW13))</f>
        <v/>
      </c>
      <c r="J13" s="146">
        <f>IF($B13="","",N('ออมเงิน-ภ2'!AI13))</f>
        <v/>
      </c>
      <c r="K13" s="146">
        <f>IF($B13="","",N('ออมเงิน-ภ2'!BQ13))</f>
        <v/>
      </c>
      <c r="L13" s="146">
        <f>IF($B13="","",N('ออมเงิน-ภ2'!CY13))</f>
        <v/>
      </c>
      <c r="M13" s="146">
        <f>IF($B13="","",N('ออมเงิน-ภ2'!EG13))</f>
        <v/>
      </c>
      <c r="N13" s="146">
        <f>IF($B13="","",N('ออมเงิน-ภ2'!FO13))</f>
        <v/>
      </c>
      <c r="O13" s="719">
        <f>IF($B13="","",SUM(D13:N13))</f>
        <v/>
      </c>
      <c r="P13" s="720">
        <f>IF($B13="","",SUMIF('ถอนเงิน'!$C$7:$C$306,$A13,'ถอนเงิน'!$E$7:$E$306))</f>
        <v/>
      </c>
      <c r="Q13" s="713">
        <f>IF($B13="","",C13+O13-P13)</f>
        <v/>
      </c>
    </row>
    <row r="14">
      <c r="A14" s="721" t="inlineStr">
        <is>
          <t>รวมทั้งห้อง</t>
        </is>
      </c>
      <c r="C14" s="722">
        <f>SUM(C9:C13)</f>
        <v/>
      </c>
      <c r="D14" s="722">
        <f>SUM(D9:D13)</f>
        <v/>
      </c>
      <c r="E14" s="722">
        <f>SUM(E9:E13)</f>
        <v/>
      </c>
      <c r="F14" s="722">
        <f>SUM(F9:F13)</f>
        <v/>
      </c>
      <c r="G14" s="722">
        <f>SUM(G9:G13)</f>
        <v/>
      </c>
      <c r="H14" s="722">
        <f>SUM(H9:H13)</f>
        <v/>
      </c>
      <c r="I14" s="722">
        <f>SUM(I9:I13)</f>
        <v/>
      </c>
      <c r="J14" s="722">
        <f>SUM(J9:J13)</f>
        <v/>
      </c>
      <c r="K14" s="722">
        <f>SUM(K9:K13)</f>
        <v/>
      </c>
      <c r="L14" s="722">
        <f>SUM(L9:L13)</f>
        <v/>
      </c>
      <c r="M14" s="722">
        <f>SUM(M9:M13)</f>
        <v/>
      </c>
      <c r="N14" s="722">
        <f>SUM(N9:N13)</f>
        <v/>
      </c>
      <c r="O14" s="722">
        <f>SUM(O9:O13)</f>
        <v/>
      </c>
      <c r="P14" s="722">
        <f>SUM(P9:P13)</f>
        <v/>
      </c>
      <c r="Q14" s="722">
        <f>SUM(Q9:Q13)</f>
        <v/>
      </c>
    </row>
    <row r="15"/>
    <row r="16">
      <c r="B16" s="246" t="inlineStr">
        <is>
          <t>ลงชื่อ ........................................................</t>
        </is>
      </c>
      <c r="J16" s="246" t="inlineStr">
        <is>
          <t>ลงชื่อ ........................................................</t>
        </is>
      </c>
    </row>
    <row r="17">
      <c r="B17" s="246">
        <f>"( "&amp;IF('ข้อมูลโรงเรียน'!$C$9="","..................................................",'ข้อมูลโรงเรียน'!$C$9)&amp;" )"</f>
        <v/>
      </c>
      <c r="J17" s="246">
        <f>"( "&amp;IF('ข้อมูลโรงเรียน'!$C$11="","..................................................",'ข้อมูลโรงเรียน'!$C$11)&amp;" )"</f>
        <v/>
      </c>
    </row>
    <row r="18">
      <c r="B18" s="277" t="inlineStr">
        <is>
          <t>ครูประจำชั้น</t>
        </is>
      </c>
      <c r="J18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9">
    <mergeCell ref="C5:C8"/>
    <mergeCell ref="N6:N8"/>
    <mergeCell ref="O5:O8"/>
    <mergeCell ref="Q5:Q8"/>
    <mergeCell ref="I6:I8"/>
    <mergeCell ref="K6:K8"/>
    <mergeCell ref="L6:L8"/>
    <mergeCell ref="D6:D8"/>
    <mergeCell ref="F6:F8"/>
    <mergeCell ref="A14:B14"/>
    <mergeCell ref="J6:J8"/>
    <mergeCell ref="A5:A8"/>
    <mergeCell ref="E6:E8"/>
    <mergeCell ref="B5:B8"/>
    <mergeCell ref="M6:M8"/>
    <mergeCell ref="H6:H8"/>
    <mergeCell ref="D5:N5"/>
    <mergeCell ref="G6:G8"/>
    <mergeCell ref="P5:P8"/>
  </mergeCells>
  <conditionalFormatting sqref="A9:LH13">
    <cfRule type="expression" priority="1" dxfId="0" stopIfTrue="1">
      <formula>$B9=""</formula>
    </cfRule>
  </conditionalFormatting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tabColor rgb="009B7FEF"/>
    <outlinePr summaryBelow="1" summaryRight="1"/>
    <pageSetUpPr fitToPage="1"/>
  </sheetPr>
  <dimension ref="A1:K46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3" customWidth="1" min="9" max="9"/>
    <col width="16" customWidth="1" min="10" max="10"/>
    <col width="26" customWidth="1" min="11" max="11"/>
  </cols>
  <sheetData>
    <row r="1" ht="26" customHeight="1">
      <c r="A1" s="723" t="inlineStr">
        <is>
          <t>สมุดรายงานประจำตัวนักเรียน</t>
        </is>
      </c>
      <c r="J1" s="724" t="inlineStr">
        <is>
          <t>เลือกนักเรียน</t>
        </is>
      </c>
    </row>
    <row r="2" ht="16" customHeight="1">
      <c r="A2" s="725">
        <f>"โรงเรียน"&amp;'ข้อมูลโรงเรียน'!$C$5&amp;IF('ข้อมูลโรงเรียน'!$C$6="",""," • "&amp;'ข้อมูลโรงเรียน'!$C$6)</f>
        <v/>
      </c>
    </row>
    <row r="3" ht="16" customHeight="1">
      <c r="A3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  <c r="J3" s="727" t="inlineStr">
        <is>
          <t>เลขที่</t>
        </is>
      </c>
      <c r="K3" s="728" t="n">
        <v>1</v>
      </c>
    </row>
    <row r="4" ht="16" customHeight="1">
      <c r="J4" s="727" t="inlineStr">
        <is>
          <t>ชื่อ</t>
        </is>
      </c>
      <c r="K4" s="729">
        <f>INDEX('ข้อมูลนักเรียน'!$T$9:$T$13,$K$3)&amp;""</f>
        <v/>
      </c>
    </row>
    <row r="5" ht="18" customHeight="1">
      <c r="A5" s="730" t="inlineStr">
        <is>
          <t xml:space="preserve">  ข้อมูลนักเรียน</t>
        </is>
      </c>
      <c r="B5" s="731" t="n"/>
      <c r="C5" s="731" t="n"/>
      <c r="D5" s="731" t="n"/>
      <c r="E5" s="731" t="n"/>
      <c r="F5" s="731" t="n"/>
      <c r="G5" s="731" t="n"/>
      <c r="H5" s="731" t="n"/>
    </row>
    <row r="6" ht="16" customHeight="1">
      <c r="A6" s="732" t="inlineStr">
        <is>
          <t>ชื่อ - สกุล</t>
        </is>
      </c>
      <c r="B6" s="733">
        <f>INDEX('ข้อมูลนักเรียน'!$T$9:$T$13,$K$3)&amp;""</f>
        <v/>
      </c>
      <c r="E6" s="732" t="inlineStr">
        <is>
          <t>ชื่อเล่น</t>
        </is>
      </c>
      <c r="F6" s="157">
        <f>INDEX('ข้อมูลนักเรียน'!$G$9:$G$13,$K$3)&amp;""</f>
        <v/>
      </c>
      <c r="G6" s="732" t="inlineStr">
        <is>
          <t>เลขที่</t>
        </is>
      </c>
      <c r="H6" s="157">
        <f>$K$3</f>
        <v/>
      </c>
      <c r="J6" s="189" t="inlineStr">
        <is>
          <t>เปลี่ยนเลขที่ แล้วกด Ctrl + P</t>
        </is>
      </c>
    </row>
    <row r="7" ht="16" customHeight="1">
      <c r="A7" s="732" t="inlineStr">
        <is>
          <t>เลขประจำตัว</t>
        </is>
      </c>
      <c r="B7" s="157">
        <f>INDEX('ข้อมูลนักเรียน'!$B$9:$B$13,$K$3)&amp;""</f>
        <v/>
      </c>
      <c r="C7" s="732" t="inlineStr">
        <is>
          <t>วันเกิด</t>
        </is>
      </c>
      <c r="D7" s="157">
        <f>IF(INDEX('ข้อมูลนักเรียน'!$S$9:$S$13,$K$3)="","",DAY(INDEX('ข้อมูลนักเรียน'!$S$9:$S$13,$K$3))&amp;" "&amp;CHOOSE(MONTH(INDEX('ข้อมูลนักเรียน'!$S$9:$S$13,$K$3)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"&amp;(YEAR(INDEX('ข้อมูลนักเรียน'!$S$9:$S$13,$K$3))+543))</f>
        <v/>
      </c>
      <c r="F7" s="732" t="inlineStr">
        <is>
          <t>อายุ</t>
        </is>
      </c>
      <c r="G7" s="157">
        <f>INDEX('ข้อมูลนักเรียน'!$K$9:$K$13,$K$3)&amp;""</f>
        <v/>
      </c>
      <c r="J7" s="189" t="inlineStr">
        <is>
          <t>ได้สมุดรายงาน A4 คนละ 1 หน้า</t>
        </is>
      </c>
    </row>
    <row r="8" ht="16" customHeight="1">
      <c r="A8" s="732" t="inlineStr">
        <is>
          <t>กรุ๊ปเลือด</t>
        </is>
      </c>
      <c r="B8" s="157">
        <f>INDEX('ข้อมูลนักเรียน'!$L$9:$L$13,$K$3)&amp;""</f>
        <v/>
      </c>
      <c r="C8" s="732" t="inlineStr">
        <is>
          <t>โรคประจำตัว/แพ้</t>
        </is>
      </c>
      <c r="D8" s="242">
        <f>INDEX('ข้อมูลนักเรียน'!$M$9:$M$13,$K$3)&amp;""</f>
        <v/>
      </c>
      <c r="J8" s="189" t="inlineStr"/>
    </row>
    <row r="9" ht="16" customHeight="1">
      <c r="A9" s="732" t="inlineStr">
        <is>
          <t>ผู้ปกครอง</t>
        </is>
      </c>
      <c r="B9" s="242">
        <f>INDEX('ข้อมูลนักเรียน'!$N$9:$N$13,$K$3)&amp;IF(INDEX('ข้อมูลนักเรียน'!$O$9:$O$13,$K$3)="",""," ("&amp;INDEX('ข้อมูลนักเรียน'!$O$9:$O$13,$K$3)&amp;")")</f>
        <v/>
      </c>
      <c r="E9" s="732" t="inlineStr">
        <is>
          <t>โทรศัพท์</t>
        </is>
      </c>
      <c r="F9" s="157">
        <f>INDEX('ข้อมูลนักเรียน'!$P$9:$P$13,$K$3)&amp;""</f>
        <v/>
      </c>
      <c r="J9" s="189" t="inlineStr">
        <is>
          <t>ต้องการพิมพ์ทั้งห้องครั้งเดียว</t>
        </is>
      </c>
    </row>
    <row r="10" ht="16" customHeight="1">
      <c r="J10" s="189" t="inlineStr">
        <is>
          <t>ใช้หน้า “สมุดพก-ทั้งห้อง”</t>
        </is>
      </c>
    </row>
    <row r="11" ht="18" customHeight="1">
      <c r="A11" s="734" t="inlineStr">
        <is>
          <t xml:space="preserve">  1. การมาเรียน</t>
        </is>
      </c>
      <c r="B11" s="129" t="n"/>
      <c r="C11" s="129" t="n"/>
      <c r="D11" s="129" t="n"/>
      <c r="E11" s="129" t="n"/>
      <c r="F11" s="129" t="n"/>
      <c r="G11" s="129" t="n"/>
      <c r="H11" s="129" t="n"/>
    </row>
    <row r="12" ht="16" customHeight="1">
      <c r="A12" s="260" t="inlineStr">
        <is>
          <t>ภาคเรียน</t>
        </is>
      </c>
      <c r="B12" s="260" t="inlineStr">
        <is>
          <t>วันเปิดเรียน</t>
        </is>
      </c>
      <c r="C12" s="260" t="inlineStr">
        <is>
          <t>มา</t>
        </is>
      </c>
      <c r="D12" s="260" t="inlineStr">
        <is>
          <t>สาย</t>
        </is>
      </c>
      <c r="E12" s="260" t="inlineStr">
        <is>
          <t>ลา</t>
        </is>
      </c>
      <c r="F12" s="260" t="inlineStr">
        <is>
          <t>ป่วย</t>
        </is>
      </c>
      <c r="G12" s="260" t="inlineStr">
        <is>
          <t>ขาด</t>
        </is>
      </c>
      <c r="H12" s="260" t="inlineStr">
        <is>
          <t>ร้อยละมาเรียน</t>
        </is>
      </c>
      <c r="J12" s="735" t="inlineStr">
        <is>
          <t>🏠 กลับหน้าหลัก</t>
        </is>
      </c>
    </row>
    <row r="13" ht="16" customHeight="1">
      <c r="A13" s="736" t="inlineStr">
        <is>
          <t>ภาคเรียนที่ 1</t>
        </is>
      </c>
      <c r="B13" s="157">
        <f>COUNTIF('ปฏิทิน'!$D$2:$GY$2,1)</f>
        <v/>
      </c>
      <c r="C13" s="157">
        <f>IF(INDEX('ข้อมูลนักเรียน'!$T$9:$T$13,$K$3)="","",COUNTIF(INDEX('มาเรียน-ภ1'!$D$9:$GY$13,$K$3,0),"ม"))</f>
        <v/>
      </c>
      <c r="D13" s="157">
        <f>IF(INDEX('ข้อมูลนักเรียน'!$T$9:$T$13,$K$3)="","",COUNTIF(INDEX('มาเรียน-ภ1'!$D$9:$GY$13,$K$3,0),"ส"))</f>
        <v/>
      </c>
      <c r="E13" s="157">
        <f>IF(INDEX('ข้อมูลนักเรียน'!$T$9:$T$13,$K$3)="","",COUNTIF(INDEX('มาเรียน-ภ1'!$D$9:$GY$13,$K$3,0),"ล"))</f>
        <v/>
      </c>
      <c r="F13" s="157">
        <f>IF(INDEX('ข้อมูลนักเรียน'!$T$9:$T$13,$K$3)="","",COUNTIF(INDEX('มาเรียน-ภ1'!$D$9:$GY$13,$K$3,0),"ป"))</f>
        <v/>
      </c>
      <c r="G13" s="157">
        <f>IF(INDEX('ข้อมูลนักเรียน'!$T$9:$T$13,$K$3)="","",COUNTIF(INDEX('มาเรียน-ภ1'!$D$9:$GY$13,$K$3,0),"ข"))</f>
        <v/>
      </c>
      <c r="H13" s="737">
        <f>IF(INDEX('ข้อมูลนักเรียน'!$T$9:$T$13,$K$3)="","",IFERROR((C13+D13)/SUM(C13:G13),"-"))</f>
        <v/>
      </c>
    </row>
    <row r="14" ht="16" customHeight="1">
      <c r="A14" s="736" t="inlineStr">
        <is>
          <t>ภาคเรียนที่ 2</t>
        </is>
      </c>
      <c r="B14" s="157">
        <f>COUNTIF('ปฏิทิน'!$D$6:$FQ$6,1)</f>
        <v/>
      </c>
      <c r="C14" s="157">
        <f>IF(INDEX('ข้อมูลนักเรียน'!$T$9:$T$13,$K$3)="","",COUNTIF(INDEX('มาเรียน-ภ2'!$D$9:$FQ$13,$K$3,0),"ม"))</f>
        <v/>
      </c>
      <c r="D14" s="157">
        <f>IF(INDEX('ข้อมูลนักเรียน'!$T$9:$T$13,$K$3)="","",COUNTIF(INDEX('มาเรียน-ภ2'!$D$9:$FQ$13,$K$3,0),"ส"))</f>
        <v/>
      </c>
      <c r="E14" s="157">
        <f>IF(INDEX('ข้อมูลนักเรียน'!$T$9:$T$13,$K$3)="","",COUNTIF(INDEX('มาเรียน-ภ2'!$D$9:$FQ$13,$K$3,0),"ล"))</f>
        <v/>
      </c>
      <c r="F14" s="157">
        <f>IF(INDEX('ข้อมูลนักเรียน'!$T$9:$T$13,$K$3)="","",COUNTIF(INDEX('มาเรียน-ภ2'!$D$9:$FQ$13,$K$3,0),"ป"))</f>
        <v/>
      </c>
      <c r="G14" s="157">
        <f>IF(INDEX('ข้อมูลนักเรียน'!$T$9:$T$13,$K$3)="","",COUNTIF(INDEX('มาเรียน-ภ2'!$D$9:$FQ$13,$K$3,0),"ข"))</f>
        <v/>
      </c>
      <c r="H14" s="737">
        <f>IF(INDEX('ข้อมูลนักเรียน'!$T$9:$T$13,$K$3)="","",IFERROR((C14+D14)/SUM(C14:G14),"-"))</f>
        <v/>
      </c>
    </row>
    <row r="15" ht="16" customHeight="1">
      <c r="A15" s="738" t="inlineStr">
        <is>
          <t>รวมทั้งปี</t>
        </is>
      </c>
      <c r="B15" s="739">
        <f>B13+B14</f>
        <v/>
      </c>
      <c r="C15" s="739">
        <f>IF(INDEX('ข้อมูลนักเรียน'!$T$9:$T$13,$K$3)="","",N(C13)+N(C14))</f>
        <v/>
      </c>
      <c r="D15" s="739">
        <f>IF(INDEX('ข้อมูลนักเรียน'!$T$9:$T$13,$K$3)="","",N(D13)+N(D14))</f>
        <v/>
      </c>
      <c r="E15" s="739">
        <f>IF(INDEX('ข้อมูลนักเรียน'!$T$9:$T$13,$K$3)="","",N(E13)+N(E14))</f>
        <v/>
      </c>
      <c r="F15" s="739">
        <f>IF(INDEX('ข้อมูลนักเรียน'!$T$9:$T$13,$K$3)="","",N(F13)+N(F14))</f>
        <v/>
      </c>
      <c r="G15" s="739">
        <f>IF(INDEX('ข้อมูลนักเรียน'!$T$9:$T$13,$K$3)="","",N(G13)+N(G14))</f>
        <v/>
      </c>
      <c r="H15" s="737">
        <f>IF(INDEX('ข้อมูลนักเรียน'!$T$9:$T$13,$K$3)="","",IFERROR((C15+D15)/SUM(C15:G15),"-"))</f>
        <v/>
      </c>
    </row>
    <row r="16" ht="16" customHeight="1"/>
    <row r="17" ht="18" customHeight="1">
      <c r="A17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17" s="741" t="n"/>
      <c r="C17" s="741" t="n"/>
      <c r="D17" s="741" t="n"/>
      <c r="E17" s="741" t="n"/>
      <c r="F17" s="741" t="n"/>
      <c r="G17" s="741" t="n"/>
      <c r="H17" s="741" t="n"/>
    </row>
    <row r="18" ht="16" customHeight="1">
      <c r="A18" s="742" t="inlineStr">
        <is>
          <t>ภาคเรียน</t>
        </is>
      </c>
      <c r="B18" s="742" t="inlineStr">
        <is>
          <t>เดือนที่วัด</t>
        </is>
      </c>
      <c r="C18" s="742" t="inlineStr">
        <is>
          <t>น้ำหนัก (กก.)</t>
        </is>
      </c>
      <c r="D18" s="742" t="inlineStr">
        <is>
          <t>ส่วนสูง (ซม.)</t>
        </is>
      </c>
      <c r="E18" s="742" t="inlineStr">
        <is>
          <t>น้ำหนักตามเกณฑ์ส่วนสูง</t>
        </is>
      </c>
      <c r="G18" s="742" t="inlineStr">
        <is>
          <t>ส่วนสูงตามเกณฑ์อายุ</t>
        </is>
      </c>
    </row>
    <row r="19" ht="16" customHeight="1">
      <c r="A19" s="732" t="inlineStr">
        <is>
          <t>ภาคเรียนที่ 1</t>
        </is>
      </c>
      <c r="B19" s="157">
        <f>INDEX('น้ำหนักส่วนสูง'!$CS$9:$CS$13,$K$3)&amp;""</f>
        <v/>
      </c>
      <c r="C19" s="743">
        <f>IF(N(INDEX('น้ำหนักส่วนสูง'!$CO$9:$CO$13,$K$3))=0,"",INDEX('น้ำหนักส่วนสูง'!$CO$9:$CO$13,$K$3))</f>
        <v/>
      </c>
      <c r="D19" s="743">
        <f>IF(N(INDEX('น้ำหนักส่วนสูง'!$CP$9:$CP$13,$K$3))=0,"",INDEX('น้ำหนักส่วนสูง'!$CP$9:$CP$13,$K$3))</f>
        <v/>
      </c>
      <c r="E19" s="739">
        <f>INDEX('น้ำหนักส่วนสูง'!$CQ$9:$CQ$13,$K$3)&amp;""</f>
        <v/>
      </c>
      <c r="G19" s="739">
        <f>INDEX('น้ำหนักส่วนสูง'!$CR$9:$CR$13,$K$3)&amp;""</f>
        <v/>
      </c>
    </row>
    <row r="20" ht="16" customHeight="1">
      <c r="A20" s="732" t="inlineStr">
        <is>
          <t>ภาคเรียนที่ 2</t>
        </is>
      </c>
      <c r="B20" s="157">
        <f>INDEX('น้ำหนักส่วนสูง'!$CX$9:$CX$13,$K$3)&amp;""</f>
        <v/>
      </c>
      <c r="C20" s="743">
        <f>IF(N(INDEX('น้ำหนักส่วนสูง'!$CT$9:$CT$13,$K$3))=0,"",INDEX('น้ำหนักส่วนสูง'!$CT$9:$CT$13,$K$3))</f>
        <v/>
      </c>
      <c r="D20" s="743">
        <f>IF(N(INDEX('น้ำหนักส่วนสูง'!$CU$9:$CU$13,$K$3))=0,"",INDEX('น้ำหนักส่วนสูง'!$CU$9:$CU$13,$K$3))</f>
        <v/>
      </c>
      <c r="E20" s="739">
        <f>INDEX('น้ำหนักส่วนสูง'!$CV$9:$CV$13,$K$3)&amp;""</f>
        <v/>
      </c>
      <c r="G20" s="739">
        <f>INDEX('น้ำหนักส่วนสูง'!$CW$9:$CW$13,$K$3)&amp;""</f>
        <v/>
      </c>
    </row>
    <row r="21" ht="16" customHeight="1"/>
    <row r="22" ht="18" customHeight="1">
      <c r="A22" s="744" t="inlineStr">
        <is>
          <t xml:space="preserve">  3. ผลการประเมินพัฒนาการ (หลักสูตรการศึกษาปฐมวัย พ.ศ. 2560)</t>
        </is>
      </c>
      <c r="B22" s="745" t="n"/>
      <c r="C22" s="745" t="n"/>
      <c r="D22" s="745" t="n"/>
      <c r="E22" s="745" t="n"/>
      <c r="F22" s="745" t="n"/>
      <c r="G22" s="745" t="n"/>
      <c r="H22" s="745" t="n"/>
    </row>
    <row r="23" ht="16" customHeight="1">
      <c r="A23" s="746" t="inlineStr">
        <is>
          <t>พัฒนาการ</t>
        </is>
      </c>
      <c r="E23" s="746" t="inlineStr">
        <is>
          <t>ภาค 1 คะแนน</t>
        </is>
      </c>
      <c r="F23" s="746" t="inlineStr">
        <is>
          <t>ภาค 1 ผล</t>
        </is>
      </c>
      <c r="G23" s="746" t="inlineStr">
        <is>
          <t>ภาค 2 คะแนน</t>
        </is>
      </c>
      <c r="H23" s="746" t="inlineStr">
        <is>
          <t>ภาค 2 ผล</t>
        </is>
      </c>
    </row>
    <row r="24" ht="16" customHeight="1">
      <c r="A24" s="747" t="inlineStr">
        <is>
          <t>ด้านร่างกาย</t>
        </is>
      </c>
      <c r="E24" s="748">
        <f>INDEX('ประเมินพัฒนาการ-ภ1'!$AG$9:$AG$13,$K$3)&amp;""</f>
        <v/>
      </c>
      <c r="F24" s="739">
        <f>INDEX('ประเมินพัฒนาการ-ภ1'!$AH$9:$AH$13,$K$3)&amp;""</f>
        <v/>
      </c>
      <c r="G24" s="748">
        <f>INDEX('ประเมินพัฒนาการ-ภ2'!$AG$9:$AG$13,$K$3)&amp;""</f>
        <v/>
      </c>
      <c r="H24" s="739">
        <f>INDEX('ประเมินพัฒนาการ-ภ2'!$AH$9:$AH$13,$K$3)&amp;""</f>
        <v/>
      </c>
    </row>
    <row r="25" ht="16" customHeight="1">
      <c r="A25" s="747" t="inlineStr">
        <is>
          <t>ด้านอารมณ์ จิตใจ</t>
        </is>
      </c>
      <c r="E25" s="748">
        <f>INDEX('ประเมินพัฒนาการ-ภ1'!$AI$9:$AI$13,$K$3)&amp;""</f>
        <v/>
      </c>
      <c r="F25" s="739">
        <f>INDEX('ประเมินพัฒนาการ-ภ1'!$AJ$9:$AJ$13,$K$3)&amp;""</f>
        <v/>
      </c>
      <c r="G25" s="748">
        <f>INDEX('ประเมินพัฒนาการ-ภ2'!$AI$9:$AI$13,$K$3)&amp;""</f>
        <v/>
      </c>
      <c r="H25" s="739">
        <f>INDEX('ประเมินพัฒนาการ-ภ2'!$AJ$9:$AJ$13,$K$3)&amp;""</f>
        <v/>
      </c>
    </row>
    <row r="26" ht="16" customHeight="1">
      <c r="A26" s="747" t="inlineStr">
        <is>
          <t>ด้านสังคม</t>
        </is>
      </c>
      <c r="E26" s="748">
        <f>INDEX('ประเมินพัฒนาการ-ภ1'!$AK$9:$AK$13,$K$3)&amp;""</f>
        <v/>
      </c>
      <c r="F26" s="739">
        <f>INDEX('ประเมินพัฒนาการ-ภ1'!$AL$9:$AL$13,$K$3)&amp;""</f>
        <v/>
      </c>
      <c r="G26" s="748">
        <f>INDEX('ประเมินพัฒนาการ-ภ2'!$AK$9:$AK$13,$K$3)&amp;""</f>
        <v/>
      </c>
      <c r="H26" s="739">
        <f>INDEX('ประเมินพัฒนาการ-ภ2'!$AL$9:$AL$13,$K$3)&amp;""</f>
        <v/>
      </c>
    </row>
    <row r="27" ht="16" customHeight="1">
      <c r="A27" s="747" t="inlineStr">
        <is>
          <t>ด้านสติปัญญา</t>
        </is>
      </c>
      <c r="E27" s="748">
        <f>INDEX('ประเมินพัฒนาการ-ภ1'!$AM$9:$AM$13,$K$3)&amp;""</f>
        <v/>
      </c>
      <c r="F27" s="739">
        <f>INDEX('ประเมินพัฒนาการ-ภ1'!$AN$9:$AN$13,$K$3)&amp;""</f>
        <v/>
      </c>
      <c r="G27" s="748">
        <f>INDEX('ประเมินพัฒนาการ-ภ2'!$AM$9:$AM$13,$K$3)&amp;""</f>
        <v/>
      </c>
      <c r="H27" s="739">
        <f>INDEX('ประเมินพัฒนาการ-ภ2'!$AN$9:$AN$13,$K$3)&amp;""</f>
        <v/>
      </c>
    </row>
    <row r="28" ht="16" customHeight="1">
      <c r="A28" s="747" t="inlineStr">
        <is>
          <t>ภาพรวม</t>
        </is>
      </c>
      <c r="E28" s="748">
        <f>INDEX('ประเมินพัฒนาการ-ภ1'!$AO$9:$AO$13,$K$3)&amp;""</f>
        <v/>
      </c>
      <c r="F28" s="739">
        <f>INDEX('ประเมินพัฒนาการ-ภ1'!$AP$9:$AP$13,$K$3)&amp;""</f>
        <v/>
      </c>
      <c r="G28" s="748">
        <f>INDEX('ประเมินพัฒนาการ-ภ2'!$AO$9:$AO$13,$K$3)&amp;""</f>
        <v/>
      </c>
      <c r="H28" s="739">
        <f>INDEX('ประเมินพัฒนาการ-ภ2'!$AP$9:$AP$13,$K$3)&amp;""</f>
        <v/>
      </c>
    </row>
    <row r="29" ht="16" customHeight="1"/>
    <row r="30" ht="18" customHeight="1">
      <c r="A30" s="749" t="inlineStr">
        <is>
          <t xml:space="preserve">  4. สุขนิสัยและกิจวัตรประจำวัน (ร้อยละของวันที่บันทึก)</t>
        </is>
      </c>
      <c r="B30" s="750" t="n"/>
      <c r="C30" s="750" t="n"/>
      <c r="D30" s="750" t="n"/>
      <c r="E30" s="750" t="n"/>
      <c r="F30" s="750" t="n"/>
      <c r="G30" s="750" t="n"/>
      <c r="H30" s="750" t="n"/>
    </row>
    <row r="31" ht="16" customHeight="1">
      <c r="A31" s="751" t="inlineStr">
        <is>
          <t>รายการ</t>
        </is>
      </c>
      <c r="E31" s="751" t="inlineStr">
        <is>
          <t>ภาคเรียนที่ 1</t>
        </is>
      </c>
      <c r="G31" s="751" t="inlineStr">
        <is>
          <t>ภาคเรียนที่ 2</t>
        </is>
      </c>
    </row>
    <row r="32" ht="16" customHeight="1">
      <c r="A32" s="752" t="inlineStr">
        <is>
          <t>ดื่มนม</t>
        </is>
      </c>
      <c r="E32" s="145">
        <f>IF(INDEX('ข้อมูลนักเรียน'!$T$9:$T$13,$K$3)="","",INDEX('ดื่มนม-ภ1'!$C$9:$C$13,$K$3))</f>
        <v/>
      </c>
      <c r="G32" s="145">
        <f>IF(INDEX('ข้อมูลนักเรียน'!$T$9:$T$13,$K$3)="","",INDEX('ดื่มนม-ภ2'!$C$9:$C$13,$K$3))</f>
        <v/>
      </c>
    </row>
    <row r="33" ht="16" customHeight="1">
      <c r="A33" s="752" t="inlineStr">
        <is>
          <t>แปรงฟันหลังอาหารกลางวัน</t>
        </is>
      </c>
      <c r="E33" s="145">
        <f>IF(INDEX('ข้อมูลนักเรียน'!$T$9:$T$13,$K$3)="","",INDEX('แปรงฟัน-ภ1'!$C$9:$C$13,$K$3))</f>
        <v/>
      </c>
      <c r="G33" s="145">
        <f>IF(INDEX('ข้อมูลนักเรียน'!$T$9:$T$13,$K$3)="","",INDEX('แปรงฟัน-ภ2'!$C$9:$C$13,$K$3))</f>
        <v/>
      </c>
    </row>
    <row r="34" ht="16" customHeight="1">
      <c r="A34" s="752" t="inlineStr">
        <is>
          <t>รับประทานอาหารกลางวันหมด</t>
        </is>
      </c>
      <c r="E34" s="145">
        <f>IF(INDEX('ข้อมูลนักเรียน'!$T$9:$T$13,$K$3)="","",INDEX('อาหารกลางวัน-ภ1'!$C$9:$C$13,$K$3))</f>
        <v/>
      </c>
      <c r="G34" s="145">
        <f>IF(INDEX('ข้อมูลนักเรียน'!$T$9:$T$13,$K$3)="","",INDEX('อาหารกลางวัน-ภ2'!$C$9:$C$13,$K$3))</f>
        <v/>
      </c>
    </row>
    <row r="35" ht="16" customHeight="1">
      <c r="A35" s="752" t="inlineStr">
        <is>
          <t>ออกกำลังกาย</t>
        </is>
      </c>
      <c r="E35" s="145">
        <f>IF(INDEX('ข้อมูลนักเรียน'!$T$9:$T$13,$K$3)="","",INDEX('ออกกำลังกาย-ภ1'!$C$9:$C$13,$K$3))</f>
        <v/>
      </c>
      <c r="G35" s="145">
        <f>IF(INDEX('ข้อมูลนักเรียน'!$T$9:$T$13,$K$3)="","",INDEX('ออกกำลังกาย-ภ2'!$C$9:$C$13,$K$3))</f>
        <v/>
      </c>
    </row>
    <row r="36" ht="16" customHeight="1">
      <c r="A36" s="752" t="inlineStr">
        <is>
          <t>ร่วมกิจกรรมหน้าเสาธง</t>
        </is>
      </c>
      <c r="E36" s="145">
        <f>IF(INDEX('ข้อมูลนักเรียน'!$T$9:$T$13,$K$3)="","",INDEX('เสาธง-ภ1'!$C$9:$C$13,$K$3))</f>
        <v/>
      </c>
      <c r="G36" s="145">
        <f>IF(INDEX('ข้อมูลนักเรียน'!$T$9:$T$13,$K$3)="","",INDEX('เสาธง-ภ2'!$C$9:$C$13,$K$3))</f>
        <v/>
      </c>
    </row>
    <row r="37" ht="16" customHeight="1">
      <c r="A37" s="753" t="inlineStr">
        <is>
          <t>เงินออมคงเหลือ ณ วันที่พิมพ์ (บาท)</t>
        </is>
      </c>
      <c r="E37" s="754">
        <f>IF(INDEX('ข้อมูลนักเรียน'!$T$9:$T$13,$K$3)="","",INDEX('สรุปออมเงิน'!$Q$9:$Q$13,$K$3))</f>
        <v/>
      </c>
    </row>
    <row r="38" ht="16" customHeight="1"/>
    <row r="39" ht="18" customHeight="1">
      <c r="A39" s="755" t="inlineStr">
        <is>
          <t xml:space="preserve">  5. ความคิดเห็นของครู</t>
        </is>
      </c>
      <c r="B39" s="756" t="n"/>
      <c r="C39" s="756" t="n"/>
      <c r="D39" s="756" t="n"/>
      <c r="E39" s="756" t="n"/>
      <c r="F39" s="756" t="n"/>
      <c r="G39" s="756" t="n"/>
      <c r="H39" s="756" t="n"/>
    </row>
    <row r="40" ht="34" customHeight="1">
      <c r="A40" s="757" t="inlineStr">
        <is>
          <t>ภาคเรียนที่ 1</t>
        </is>
      </c>
      <c r="B40" s="758">
        <f>INDEX('ประเมินพัฒนาการ-ภ1'!$AQ$9:$AQ$13,$K$3)&amp;""</f>
        <v/>
      </c>
    </row>
    <row r="41" ht="34" customHeight="1">
      <c r="A41" s="757" t="inlineStr">
        <is>
          <t>ภาคเรียนที่ 2</t>
        </is>
      </c>
      <c r="B41" s="758">
        <f>INDEX('ประเมินพัฒนาการ-ภ2'!$AQ$9:$AQ$13,$K$3)&amp;""</f>
        <v/>
      </c>
    </row>
    <row r="42" ht="16" customHeight="1"/>
    <row r="43" ht="16" customHeight="1"/>
    <row r="44" ht="16" customHeight="1">
      <c r="A44" s="759" t="inlineStr">
        <is>
          <t>ลงชื่อ ..........................................</t>
        </is>
      </c>
      <c r="D44" s="759" t="inlineStr">
        <is>
          <t>ลงชื่อ ..........................................</t>
        </is>
      </c>
      <c r="G44" s="759" t="inlineStr">
        <is>
          <t>ลงชื่อ ..........................................</t>
        </is>
      </c>
    </row>
    <row r="45" ht="16" customHeight="1">
      <c r="A45" s="759">
        <f>"( "&amp;IF('ข้อมูลโรงเรียน'!$C$9="","..........................................",'ข้อมูลโรงเรียน'!$C$9)&amp;" )"</f>
        <v/>
      </c>
      <c r="D45" s="759">
        <f>"( "&amp;IF('ข้อมูลโรงเรียน'!$C$11="","..........................................",'ข้อมูลโรงเรียน'!$C$11)&amp;" )"</f>
        <v/>
      </c>
      <c r="G45" s="759" t="inlineStr">
        <is>
          <t>( .......................................... )</t>
        </is>
      </c>
    </row>
    <row r="46" ht="16" customHeight="1">
      <c r="A46" s="760" t="inlineStr">
        <is>
          <t>ครูประจำชั้น</t>
        </is>
      </c>
      <c r="D46" s="760" t="inlineStr">
        <is>
          <t>ผู้บริหารสถานศึกษา</t>
        </is>
      </c>
      <c r="G46" s="760" t="inlineStr">
        <is>
          <t>ผู้ปกครอง</t>
        </is>
      </c>
    </row>
    <row r="47" ht="16" customHeight="1"/>
    <row r="48" ht="16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58">
    <mergeCell ref="A23:D23"/>
    <mergeCell ref="A30:H30"/>
    <mergeCell ref="A39:H39"/>
    <mergeCell ref="B40:H40"/>
    <mergeCell ref="A35:D35"/>
    <mergeCell ref="E33:F33"/>
    <mergeCell ref="A45:B45"/>
    <mergeCell ref="G36:H36"/>
    <mergeCell ref="A11:H11"/>
    <mergeCell ref="D46:E46"/>
    <mergeCell ref="A1:H1"/>
    <mergeCell ref="A28:D28"/>
    <mergeCell ref="D45:E45"/>
    <mergeCell ref="E37:H37"/>
    <mergeCell ref="E35:F35"/>
    <mergeCell ref="E20:F20"/>
    <mergeCell ref="A31:D31"/>
    <mergeCell ref="B41:H41"/>
    <mergeCell ref="G7:H7"/>
    <mergeCell ref="A34:D34"/>
    <mergeCell ref="E19:F19"/>
    <mergeCell ref="G19:H19"/>
    <mergeCell ref="B9:D9"/>
    <mergeCell ref="A46:B46"/>
    <mergeCell ref="A24:D24"/>
    <mergeCell ref="F9:H9"/>
    <mergeCell ref="G18:H18"/>
    <mergeCell ref="B6:D6"/>
    <mergeCell ref="E31:F31"/>
    <mergeCell ref="A36:D36"/>
    <mergeCell ref="E34:F34"/>
    <mergeCell ref="A3:H3"/>
    <mergeCell ref="G34:H34"/>
    <mergeCell ref="D7:E7"/>
    <mergeCell ref="A2:H2"/>
    <mergeCell ref="G33:H33"/>
    <mergeCell ref="A25:D25"/>
    <mergeCell ref="E36:F36"/>
    <mergeCell ref="G45:H45"/>
    <mergeCell ref="A5:H5"/>
    <mergeCell ref="A22:H22"/>
    <mergeCell ref="A17:H17"/>
    <mergeCell ref="G35:H35"/>
    <mergeCell ref="A37:D37"/>
    <mergeCell ref="G20:H20"/>
    <mergeCell ref="D8:H8"/>
    <mergeCell ref="A27:D27"/>
    <mergeCell ref="E32:F32"/>
    <mergeCell ref="G32:H32"/>
    <mergeCell ref="A26:D26"/>
    <mergeCell ref="G31:H31"/>
    <mergeCell ref="A44:B44"/>
    <mergeCell ref="A33:D33"/>
    <mergeCell ref="G44:H44"/>
    <mergeCell ref="G46:H46"/>
    <mergeCell ref="E18:F18"/>
    <mergeCell ref="D44:E44"/>
    <mergeCell ref="A32:D32"/>
  </mergeCells>
  <dataValidations count="1">
    <dataValidation sqref="K3" showDropDown="0" showInputMessage="0" showErrorMessage="0" allowBlank="1" errorTitle="ตรวจสอบข้อมูล" error="ใส่เลขที่ 1 - 5" type="whole" operator="between">
      <formula1>1</formula1>
      <formula2>5</formula2>
    </dataValidation>
  </dataValidations>
  <hyperlinks>
    <hyperlink ref="J12" location="'หน้าหลัก'!A1" display="🏠 กลับหน้าหลัก"/>
  </hyperlinks>
  <printOptions horizontalCentered="1"/>
  <pageMargins left="0.35" right="0.35" top="0.45" bottom="0.45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tabColor rgb="009B7FEF"/>
    <outlinePr summaryBelow="1" summaryRight="1"/>
    <pageSetUpPr fitToPage="0"/>
  </sheetPr>
  <dimension ref="A1:J238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42" customWidth="1" min="10" max="10"/>
  </cols>
  <sheetData>
    <row r="1" ht="26" customHeight="1">
      <c r="A1" s="723" t="inlineStr">
        <is>
          <t>สมุดรายงานประจำตัวนักเรียน</t>
        </is>
      </c>
      <c r="J1" s="761" t="inlineStr">
        <is>
          <t>🖨️ หน้าที่ต้องพิมพ์</t>
        </is>
      </c>
    </row>
    <row r="2" ht="34" customHeight="1">
      <c r="A2" s="725">
        <f>"โรงเรียน"&amp;'ข้อมูลโรงเรียน'!$C$5&amp;IF('ข้อมูลโรงเรียน'!$C$6="",""," • "&amp;'ข้อมูลโรงเรียน'!$C$6)</f>
        <v/>
      </c>
      <c r="J2" s="762">
        <f>IF(COUNTIF('ข้อมูลนักเรียน'!$E$9:$E$13,"?*")=0,"ยังไม่มีรายชื่อนักเรียน","ห้องนี้มี "&amp;COUNTIF('ข้อมูลนักเรียน'!$E$9:$E$13,"?*")&amp;" คน  →  สั่งพิมพ์หน้า 1 ถึง "&amp;ROUNDUP(SUMPRODUCT(MAX(('ข้อมูลนักเรียน'!$E$9:$E$13&lt;&gt;"")*(ROW('ข้อมูลนักเรียน'!$E$9:$E$13)-8)))/1,0))</f>
        <v/>
      </c>
    </row>
    <row r="3" ht="16" customHeight="1">
      <c r="A3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  <c r="J3" s="763" t="inlineStr">
        <is>
          <t>(สมุดพก 1 คน / หน้า  •  ใน Ctrl + P เลือก “หน้า” แล้วใส่ช่วงหน้า)</t>
        </is>
      </c>
    </row>
    <row r="4" ht="16" customHeight="1"/>
    <row r="5" ht="18" customHeight="1">
      <c r="A5" s="730" t="inlineStr">
        <is>
          <t xml:space="preserve">  ข้อมูลนักเรียน</t>
        </is>
      </c>
      <c r="B5" s="731" t="n"/>
      <c r="C5" s="731" t="n"/>
      <c r="D5" s="731" t="n"/>
      <c r="E5" s="731" t="n"/>
      <c r="F5" s="731" t="n"/>
      <c r="G5" s="731" t="n"/>
      <c r="H5" s="731" t="n"/>
    </row>
    <row r="6" ht="16" customHeight="1">
      <c r="A6" s="732" t="inlineStr">
        <is>
          <t>ชื่อ - สกุล</t>
        </is>
      </c>
      <c r="B6" s="733">
        <f>INDEX('ข้อมูลนักเรียน'!$T$9:$T$13,1)&amp;""</f>
        <v/>
      </c>
      <c r="E6" s="732" t="inlineStr">
        <is>
          <t>ชื่อเล่น</t>
        </is>
      </c>
      <c r="F6" s="157">
        <f>INDEX('ข้อมูลนักเรียน'!$G$9:$G$13,1)&amp;""</f>
        <v/>
      </c>
      <c r="G6" s="732" t="inlineStr">
        <is>
          <t>เลขที่</t>
        </is>
      </c>
      <c r="H6" s="157">
        <f>1</f>
        <v/>
      </c>
    </row>
    <row r="7" ht="16" customHeight="1">
      <c r="A7" s="732" t="inlineStr">
        <is>
          <t>เลขประจำตัว</t>
        </is>
      </c>
      <c r="B7" s="157">
        <f>INDEX('ข้อมูลนักเรียน'!$B$9:$B$13,1)&amp;""</f>
        <v/>
      </c>
      <c r="C7" s="732" t="inlineStr">
        <is>
          <t>วันเกิด</t>
        </is>
      </c>
      <c r="D7" s="157">
        <f>IF(INDEX('ข้อมูลนักเรียน'!$S$9:$S$13,1)="","",DAY(INDEX('ข้อมูลนักเรียน'!$S$9:$S$13,1))&amp;" "&amp;CHOOSE(MONTH(INDEX('ข้อมูลนักเรียน'!$S$9:$S$13,1)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"&amp;(YEAR(INDEX('ข้อมูลนักเรียน'!$S$9:$S$13,1))+543))</f>
        <v/>
      </c>
      <c r="F7" s="732" t="inlineStr">
        <is>
          <t>อายุ</t>
        </is>
      </c>
      <c r="G7" s="157">
        <f>INDEX('ข้อมูลนักเรียน'!$K$9:$K$13,1)&amp;""</f>
        <v/>
      </c>
    </row>
    <row r="8" ht="16" customHeight="1">
      <c r="A8" s="732" t="inlineStr">
        <is>
          <t>กรุ๊ปเลือด</t>
        </is>
      </c>
      <c r="B8" s="157">
        <f>INDEX('ข้อมูลนักเรียน'!$L$9:$L$13,1)&amp;""</f>
        <v/>
      </c>
      <c r="C8" s="732" t="inlineStr">
        <is>
          <t>โรคประจำตัว/แพ้</t>
        </is>
      </c>
      <c r="D8" s="242">
        <f>INDEX('ข้อมูลนักเรียน'!$M$9:$M$13,1)&amp;""</f>
        <v/>
      </c>
    </row>
    <row r="9" ht="16" customHeight="1">
      <c r="A9" s="732" t="inlineStr">
        <is>
          <t>ผู้ปกครอง</t>
        </is>
      </c>
      <c r="B9" s="242">
        <f>INDEX('ข้อมูลนักเรียน'!$N$9:$N$13,1)&amp;IF(INDEX('ข้อมูลนักเรียน'!$O$9:$O$13,1)="",""," ("&amp;INDEX('ข้อมูลนักเรียน'!$O$9:$O$13,1)&amp;")")</f>
        <v/>
      </c>
      <c r="E9" s="732" t="inlineStr">
        <is>
          <t>โทรศัพท์</t>
        </is>
      </c>
      <c r="F9" s="157">
        <f>INDEX('ข้อมูลนักเรียน'!$P$9:$P$13,1)&amp;""</f>
        <v/>
      </c>
    </row>
    <row r="10" ht="16" customHeight="1"/>
    <row r="11" ht="18" customHeight="1">
      <c r="A11" s="734" t="inlineStr">
        <is>
          <t xml:space="preserve">  1. การมาเรียน</t>
        </is>
      </c>
      <c r="B11" s="129" t="n"/>
      <c r="C11" s="129" t="n"/>
      <c r="D11" s="129" t="n"/>
      <c r="E11" s="129" t="n"/>
      <c r="F11" s="129" t="n"/>
      <c r="G11" s="129" t="n"/>
      <c r="H11" s="129" t="n"/>
    </row>
    <row r="12" ht="16" customHeight="1">
      <c r="A12" s="260" t="inlineStr">
        <is>
          <t>ภาคเรียน</t>
        </is>
      </c>
      <c r="B12" s="260" t="inlineStr">
        <is>
          <t>วันเปิดเรียน</t>
        </is>
      </c>
      <c r="C12" s="260" t="inlineStr">
        <is>
          <t>มา</t>
        </is>
      </c>
      <c r="D12" s="260" t="inlineStr">
        <is>
          <t>สาย</t>
        </is>
      </c>
      <c r="E12" s="260" t="inlineStr">
        <is>
          <t>ลา</t>
        </is>
      </c>
      <c r="F12" s="260" t="inlineStr">
        <is>
          <t>ป่วย</t>
        </is>
      </c>
      <c r="G12" s="260" t="inlineStr">
        <is>
          <t>ขาด</t>
        </is>
      </c>
      <c r="H12" s="260" t="inlineStr">
        <is>
          <t>ร้อยละมาเรียน</t>
        </is>
      </c>
    </row>
    <row r="13" ht="16" customHeight="1">
      <c r="A13" s="736" t="inlineStr">
        <is>
          <t>ภาคเรียนที่ 1</t>
        </is>
      </c>
      <c r="B13" s="157">
        <f>COUNTIF('ปฏิทิน'!$D$2:$GY$2,1)</f>
        <v/>
      </c>
      <c r="C13" s="157">
        <f>IF(INDEX('ข้อมูลนักเรียน'!$T$9:$T$13,1)="","",COUNTIF(INDEX('มาเรียน-ภ1'!$D$9:$GY$13,1,0),"ม"))</f>
        <v/>
      </c>
      <c r="D13" s="157">
        <f>IF(INDEX('ข้อมูลนักเรียน'!$T$9:$T$13,1)="","",COUNTIF(INDEX('มาเรียน-ภ1'!$D$9:$GY$13,1,0),"ส"))</f>
        <v/>
      </c>
      <c r="E13" s="157">
        <f>IF(INDEX('ข้อมูลนักเรียน'!$T$9:$T$13,1)="","",COUNTIF(INDEX('มาเรียน-ภ1'!$D$9:$GY$13,1,0),"ล"))</f>
        <v/>
      </c>
      <c r="F13" s="157">
        <f>IF(INDEX('ข้อมูลนักเรียน'!$T$9:$T$13,1)="","",COUNTIF(INDEX('มาเรียน-ภ1'!$D$9:$GY$13,1,0),"ป"))</f>
        <v/>
      </c>
      <c r="G13" s="157">
        <f>IF(INDEX('ข้อมูลนักเรียน'!$T$9:$T$13,1)="","",COUNTIF(INDEX('มาเรียน-ภ1'!$D$9:$GY$13,1,0),"ข"))</f>
        <v/>
      </c>
      <c r="H13" s="737">
        <f>IF(INDEX('ข้อมูลนักเรียน'!$T$9:$T$13,1)="","",IFERROR((C13+D13)/SUM(C13:G13),"-"))</f>
        <v/>
      </c>
    </row>
    <row r="14" ht="16" customHeight="1">
      <c r="A14" s="736" t="inlineStr">
        <is>
          <t>ภาคเรียนที่ 2</t>
        </is>
      </c>
      <c r="B14" s="157">
        <f>COUNTIF('ปฏิทิน'!$D$6:$FQ$6,1)</f>
        <v/>
      </c>
      <c r="C14" s="157">
        <f>IF(INDEX('ข้อมูลนักเรียน'!$T$9:$T$13,1)="","",COUNTIF(INDEX('มาเรียน-ภ2'!$D$9:$FQ$13,1,0),"ม"))</f>
        <v/>
      </c>
      <c r="D14" s="157">
        <f>IF(INDEX('ข้อมูลนักเรียน'!$T$9:$T$13,1)="","",COUNTIF(INDEX('มาเรียน-ภ2'!$D$9:$FQ$13,1,0),"ส"))</f>
        <v/>
      </c>
      <c r="E14" s="157">
        <f>IF(INDEX('ข้อมูลนักเรียน'!$T$9:$T$13,1)="","",COUNTIF(INDEX('มาเรียน-ภ2'!$D$9:$FQ$13,1,0),"ล"))</f>
        <v/>
      </c>
      <c r="F14" s="157">
        <f>IF(INDEX('ข้อมูลนักเรียน'!$T$9:$T$13,1)="","",COUNTIF(INDEX('มาเรียน-ภ2'!$D$9:$FQ$13,1,0),"ป"))</f>
        <v/>
      </c>
      <c r="G14" s="157">
        <f>IF(INDEX('ข้อมูลนักเรียน'!$T$9:$T$13,1)="","",COUNTIF(INDEX('มาเรียน-ภ2'!$D$9:$FQ$13,1,0),"ข"))</f>
        <v/>
      </c>
      <c r="H14" s="737">
        <f>IF(INDEX('ข้อมูลนักเรียน'!$T$9:$T$13,1)="","",IFERROR((C14+D14)/SUM(C14:G14),"-"))</f>
        <v/>
      </c>
    </row>
    <row r="15" ht="16" customHeight="1">
      <c r="A15" s="738" t="inlineStr">
        <is>
          <t>รวมทั้งปี</t>
        </is>
      </c>
      <c r="B15" s="739">
        <f>B13+B14</f>
        <v/>
      </c>
      <c r="C15" s="739">
        <f>IF(INDEX('ข้อมูลนักเรียน'!$T$9:$T$13,1)="","",N(C13)+N(C14))</f>
        <v/>
      </c>
      <c r="D15" s="739">
        <f>IF(INDEX('ข้อมูลนักเรียน'!$T$9:$T$13,1)="","",N(D13)+N(D14))</f>
        <v/>
      </c>
      <c r="E15" s="739">
        <f>IF(INDEX('ข้อมูลนักเรียน'!$T$9:$T$13,1)="","",N(E13)+N(E14))</f>
        <v/>
      </c>
      <c r="F15" s="739">
        <f>IF(INDEX('ข้อมูลนักเรียน'!$T$9:$T$13,1)="","",N(F13)+N(F14))</f>
        <v/>
      </c>
      <c r="G15" s="739">
        <f>IF(INDEX('ข้อมูลนักเรียน'!$T$9:$T$13,1)="","",N(G13)+N(G14))</f>
        <v/>
      </c>
      <c r="H15" s="737">
        <f>IF(INDEX('ข้อมูลนักเรียน'!$T$9:$T$13,1)="","",IFERROR((C15+D15)/SUM(C15:G15),"-"))</f>
        <v/>
      </c>
    </row>
    <row r="16" ht="16" customHeight="1"/>
    <row r="17" ht="18" customHeight="1">
      <c r="A17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17" s="741" t="n"/>
      <c r="C17" s="741" t="n"/>
      <c r="D17" s="741" t="n"/>
      <c r="E17" s="741" t="n"/>
      <c r="F17" s="741" t="n"/>
      <c r="G17" s="741" t="n"/>
      <c r="H17" s="741" t="n"/>
    </row>
    <row r="18" ht="16" customHeight="1">
      <c r="A18" s="742" t="inlineStr">
        <is>
          <t>ภาคเรียน</t>
        </is>
      </c>
      <c r="B18" s="742" t="inlineStr">
        <is>
          <t>เดือนที่วัด</t>
        </is>
      </c>
      <c r="C18" s="742" t="inlineStr">
        <is>
          <t>น้ำหนัก (กก.)</t>
        </is>
      </c>
      <c r="D18" s="742" t="inlineStr">
        <is>
          <t>ส่วนสูง (ซม.)</t>
        </is>
      </c>
      <c r="E18" s="742" t="inlineStr">
        <is>
          <t>น้ำหนักตามเกณฑ์ส่วนสูง</t>
        </is>
      </c>
      <c r="G18" s="742" t="inlineStr">
        <is>
          <t>ส่วนสูงตามเกณฑ์อายุ</t>
        </is>
      </c>
    </row>
    <row r="19" ht="16" customHeight="1">
      <c r="A19" s="732" t="inlineStr">
        <is>
          <t>ภาคเรียนที่ 1</t>
        </is>
      </c>
      <c r="B19" s="157">
        <f>INDEX('น้ำหนักส่วนสูง'!$CS$9:$CS$13,1)&amp;""</f>
        <v/>
      </c>
      <c r="C19" s="743">
        <f>IF(N(INDEX('น้ำหนักส่วนสูง'!$CO$9:$CO$13,1))=0,"",INDEX('น้ำหนักส่วนสูง'!$CO$9:$CO$13,1))</f>
        <v/>
      </c>
      <c r="D19" s="743">
        <f>IF(N(INDEX('น้ำหนักส่วนสูง'!$CP$9:$CP$13,1))=0,"",INDEX('น้ำหนักส่วนสูง'!$CP$9:$CP$13,1))</f>
        <v/>
      </c>
      <c r="E19" s="739">
        <f>INDEX('น้ำหนักส่วนสูง'!$CQ$9:$CQ$13,1)&amp;""</f>
        <v/>
      </c>
      <c r="G19" s="739">
        <f>INDEX('น้ำหนักส่วนสูง'!$CR$9:$CR$13,1)&amp;""</f>
        <v/>
      </c>
    </row>
    <row r="20" ht="16" customHeight="1">
      <c r="A20" s="732" t="inlineStr">
        <is>
          <t>ภาคเรียนที่ 2</t>
        </is>
      </c>
      <c r="B20" s="157">
        <f>INDEX('น้ำหนักส่วนสูง'!$CX$9:$CX$13,1)&amp;""</f>
        <v/>
      </c>
      <c r="C20" s="743">
        <f>IF(N(INDEX('น้ำหนักส่วนสูง'!$CT$9:$CT$13,1))=0,"",INDEX('น้ำหนักส่วนสูง'!$CT$9:$CT$13,1))</f>
        <v/>
      </c>
      <c r="D20" s="743">
        <f>IF(N(INDEX('น้ำหนักส่วนสูง'!$CU$9:$CU$13,1))=0,"",INDEX('น้ำหนักส่วนสูง'!$CU$9:$CU$13,1))</f>
        <v/>
      </c>
      <c r="E20" s="739">
        <f>INDEX('น้ำหนักส่วนสูง'!$CV$9:$CV$13,1)&amp;""</f>
        <v/>
      </c>
      <c r="G20" s="739">
        <f>INDEX('น้ำหนักส่วนสูง'!$CW$9:$CW$13,1)&amp;""</f>
        <v/>
      </c>
    </row>
    <row r="21" ht="16" customHeight="1"/>
    <row r="22" ht="18" customHeight="1">
      <c r="A22" s="744" t="inlineStr">
        <is>
          <t xml:space="preserve">  3. ผลการประเมินพัฒนาการ (หลักสูตรการศึกษาปฐมวัย พ.ศ. 2560)</t>
        </is>
      </c>
      <c r="B22" s="745" t="n"/>
      <c r="C22" s="745" t="n"/>
      <c r="D22" s="745" t="n"/>
      <c r="E22" s="745" t="n"/>
      <c r="F22" s="745" t="n"/>
      <c r="G22" s="745" t="n"/>
      <c r="H22" s="745" t="n"/>
    </row>
    <row r="23" ht="16" customHeight="1">
      <c r="A23" s="746" t="inlineStr">
        <is>
          <t>พัฒนาการ</t>
        </is>
      </c>
      <c r="E23" s="746" t="inlineStr">
        <is>
          <t>ภาค 1 คะแนน</t>
        </is>
      </c>
      <c r="F23" s="746" t="inlineStr">
        <is>
          <t>ภาค 1 ผล</t>
        </is>
      </c>
      <c r="G23" s="746" t="inlineStr">
        <is>
          <t>ภาค 2 คะแนน</t>
        </is>
      </c>
      <c r="H23" s="746" t="inlineStr">
        <is>
          <t>ภาค 2 ผล</t>
        </is>
      </c>
    </row>
    <row r="24" ht="16" customHeight="1">
      <c r="A24" s="747" t="inlineStr">
        <is>
          <t>ด้านร่างกาย</t>
        </is>
      </c>
      <c r="E24" s="748">
        <f>INDEX('ประเมินพัฒนาการ-ภ1'!$AG$9:$AG$13,1)&amp;""</f>
        <v/>
      </c>
      <c r="F24" s="739">
        <f>INDEX('ประเมินพัฒนาการ-ภ1'!$AH$9:$AH$13,1)&amp;""</f>
        <v/>
      </c>
      <c r="G24" s="748">
        <f>INDEX('ประเมินพัฒนาการ-ภ2'!$AG$9:$AG$13,1)&amp;""</f>
        <v/>
      </c>
      <c r="H24" s="739">
        <f>INDEX('ประเมินพัฒนาการ-ภ2'!$AH$9:$AH$13,1)&amp;""</f>
        <v/>
      </c>
    </row>
    <row r="25" ht="16" customHeight="1">
      <c r="A25" s="747" t="inlineStr">
        <is>
          <t>ด้านอารมณ์ จิตใจ</t>
        </is>
      </c>
      <c r="E25" s="748">
        <f>INDEX('ประเมินพัฒนาการ-ภ1'!$AI$9:$AI$13,1)&amp;""</f>
        <v/>
      </c>
      <c r="F25" s="739">
        <f>INDEX('ประเมินพัฒนาการ-ภ1'!$AJ$9:$AJ$13,1)&amp;""</f>
        <v/>
      </c>
      <c r="G25" s="748">
        <f>INDEX('ประเมินพัฒนาการ-ภ2'!$AI$9:$AI$13,1)&amp;""</f>
        <v/>
      </c>
      <c r="H25" s="739">
        <f>INDEX('ประเมินพัฒนาการ-ภ2'!$AJ$9:$AJ$13,1)&amp;""</f>
        <v/>
      </c>
    </row>
    <row r="26" ht="16" customHeight="1">
      <c r="A26" s="747" t="inlineStr">
        <is>
          <t>ด้านสังคม</t>
        </is>
      </c>
      <c r="E26" s="748">
        <f>INDEX('ประเมินพัฒนาการ-ภ1'!$AK$9:$AK$13,1)&amp;""</f>
        <v/>
      </c>
      <c r="F26" s="739">
        <f>INDEX('ประเมินพัฒนาการ-ภ1'!$AL$9:$AL$13,1)&amp;""</f>
        <v/>
      </c>
      <c r="G26" s="748">
        <f>INDEX('ประเมินพัฒนาการ-ภ2'!$AK$9:$AK$13,1)&amp;""</f>
        <v/>
      </c>
      <c r="H26" s="739">
        <f>INDEX('ประเมินพัฒนาการ-ภ2'!$AL$9:$AL$13,1)&amp;""</f>
        <v/>
      </c>
    </row>
    <row r="27" ht="16" customHeight="1">
      <c r="A27" s="747" t="inlineStr">
        <is>
          <t>ด้านสติปัญญา</t>
        </is>
      </c>
      <c r="E27" s="748">
        <f>INDEX('ประเมินพัฒนาการ-ภ1'!$AM$9:$AM$13,1)&amp;""</f>
        <v/>
      </c>
      <c r="F27" s="739">
        <f>INDEX('ประเมินพัฒนาการ-ภ1'!$AN$9:$AN$13,1)&amp;""</f>
        <v/>
      </c>
      <c r="G27" s="748">
        <f>INDEX('ประเมินพัฒนาการ-ภ2'!$AM$9:$AM$13,1)&amp;""</f>
        <v/>
      </c>
      <c r="H27" s="739">
        <f>INDEX('ประเมินพัฒนาการ-ภ2'!$AN$9:$AN$13,1)&amp;""</f>
        <v/>
      </c>
    </row>
    <row r="28" ht="16" customHeight="1">
      <c r="A28" s="747" t="inlineStr">
        <is>
          <t>ภาพรวม</t>
        </is>
      </c>
      <c r="E28" s="748">
        <f>INDEX('ประเมินพัฒนาการ-ภ1'!$AO$9:$AO$13,1)&amp;""</f>
        <v/>
      </c>
      <c r="F28" s="739">
        <f>INDEX('ประเมินพัฒนาการ-ภ1'!$AP$9:$AP$13,1)&amp;""</f>
        <v/>
      </c>
      <c r="G28" s="748">
        <f>INDEX('ประเมินพัฒนาการ-ภ2'!$AO$9:$AO$13,1)&amp;""</f>
        <v/>
      </c>
      <c r="H28" s="739">
        <f>INDEX('ประเมินพัฒนาการ-ภ2'!$AP$9:$AP$13,1)&amp;""</f>
        <v/>
      </c>
    </row>
    <row r="29" ht="16" customHeight="1"/>
    <row r="30" ht="18" customHeight="1">
      <c r="A30" s="749" t="inlineStr">
        <is>
          <t xml:space="preserve">  4. สุขนิสัยและกิจวัตรประจำวัน (ร้อยละของวันที่บันทึก)</t>
        </is>
      </c>
      <c r="B30" s="750" t="n"/>
      <c r="C30" s="750" t="n"/>
      <c r="D30" s="750" t="n"/>
      <c r="E30" s="750" t="n"/>
      <c r="F30" s="750" t="n"/>
      <c r="G30" s="750" t="n"/>
      <c r="H30" s="750" t="n"/>
    </row>
    <row r="31" ht="16" customHeight="1">
      <c r="A31" s="751" t="inlineStr">
        <is>
          <t>รายการ</t>
        </is>
      </c>
      <c r="E31" s="751" t="inlineStr">
        <is>
          <t>ภาคเรียนที่ 1</t>
        </is>
      </c>
      <c r="G31" s="751" t="inlineStr">
        <is>
          <t>ภาคเรียนที่ 2</t>
        </is>
      </c>
    </row>
    <row r="32" ht="16" customHeight="1">
      <c r="A32" s="752" t="inlineStr">
        <is>
          <t>ดื่มนม</t>
        </is>
      </c>
      <c r="E32" s="145">
        <f>IF(INDEX('ข้อมูลนักเรียน'!$T$9:$T$13,1)="","",INDEX('ดื่มนม-ภ1'!$C$9:$C$13,1))</f>
        <v/>
      </c>
      <c r="G32" s="145">
        <f>IF(INDEX('ข้อมูลนักเรียน'!$T$9:$T$13,1)="","",INDEX('ดื่มนม-ภ2'!$C$9:$C$13,1))</f>
        <v/>
      </c>
    </row>
    <row r="33" ht="16" customHeight="1">
      <c r="A33" s="752" t="inlineStr">
        <is>
          <t>แปรงฟันหลังอาหารกลางวัน</t>
        </is>
      </c>
      <c r="E33" s="145">
        <f>IF(INDEX('ข้อมูลนักเรียน'!$T$9:$T$13,1)="","",INDEX('แปรงฟัน-ภ1'!$C$9:$C$13,1))</f>
        <v/>
      </c>
      <c r="G33" s="145">
        <f>IF(INDEX('ข้อมูลนักเรียน'!$T$9:$T$13,1)="","",INDEX('แปรงฟัน-ภ2'!$C$9:$C$13,1))</f>
        <v/>
      </c>
    </row>
    <row r="34" ht="16" customHeight="1">
      <c r="A34" s="752" t="inlineStr">
        <is>
          <t>รับประทานอาหารกลางวันหมด</t>
        </is>
      </c>
      <c r="E34" s="145">
        <f>IF(INDEX('ข้อมูลนักเรียน'!$T$9:$T$13,1)="","",INDEX('อาหารกลางวัน-ภ1'!$C$9:$C$13,1))</f>
        <v/>
      </c>
      <c r="G34" s="145">
        <f>IF(INDEX('ข้อมูลนักเรียน'!$T$9:$T$13,1)="","",INDEX('อาหารกลางวัน-ภ2'!$C$9:$C$13,1))</f>
        <v/>
      </c>
    </row>
    <row r="35" ht="16" customHeight="1">
      <c r="A35" s="752" t="inlineStr">
        <is>
          <t>ออกกำลังกาย</t>
        </is>
      </c>
      <c r="E35" s="145">
        <f>IF(INDEX('ข้อมูลนักเรียน'!$T$9:$T$13,1)="","",INDEX('ออกกำลังกาย-ภ1'!$C$9:$C$13,1))</f>
        <v/>
      </c>
      <c r="G35" s="145">
        <f>IF(INDEX('ข้อมูลนักเรียน'!$T$9:$T$13,1)="","",INDEX('ออกกำลังกาย-ภ2'!$C$9:$C$13,1))</f>
        <v/>
      </c>
    </row>
    <row r="36" ht="16" customHeight="1">
      <c r="A36" s="752" t="inlineStr">
        <is>
          <t>ร่วมกิจกรรมหน้าเสาธง</t>
        </is>
      </c>
      <c r="E36" s="145">
        <f>IF(INDEX('ข้อมูลนักเรียน'!$T$9:$T$13,1)="","",INDEX('เสาธง-ภ1'!$C$9:$C$13,1))</f>
        <v/>
      </c>
      <c r="G36" s="145">
        <f>IF(INDEX('ข้อมูลนักเรียน'!$T$9:$T$13,1)="","",INDEX('เสาธง-ภ2'!$C$9:$C$13,1))</f>
        <v/>
      </c>
    </row>
    <row r="37" ht="16" customHeight="1">
      <c r="A37" s="753" t="inlineStr">
        <is>
          <t>เงินออมคงเหลือ ณ วันที่พิมพ์ (บาท)</t>
        </is>
      </c>
      <c r="E37" s="754">
        <f>IF(INDEX('ข้อมูลนักเรียน'!$T$9:$T$13,1)="","",INDEX('สรุปออมเงิน'!$Q$9:$Q$13,1))</f>
        <v/>
      </c>
    </row>
    <row r="38" ht="16" customHeight="1"/>
    <row r="39" ht="18" customHeight="1">
      <c r="A39" s="755" t="inlineStr">
        <is>
          <t xml:space="preserve">  5. ความคิดเห็นของครู</t>
        </is>
      </c>
      <c r="B39" s="756" t="n"/>
      <c r="C39" s="756" t="n"/>
      <c r="D39" s="756" t="n"/>
      <c r="E39" s="756" t="n"/>
      <c r="F39" s="756" t="n"/>
      <c r="G39" s="756" t="n"/>
      <c r="H39" s="756" t="n"/>
    </row>
    <row r="40" ht="34" customHeight="1">
      <c r="A40" s="757" t="inlineStr">
        <is>
          <t>ภาคเรียนที่ 1</t>
        </is>
      </c>
      <c r="B40" s="758">
        <f>INDEX('ประเมินพัฒนาการ-ภ1'!$AQ$9:$AQ$13,1)&amp;""</f>
        <v/>
      </c>
    </row>
    <row r="41" ht="34" customHeight="1">
      <c r="A41" s="757" t="inlineStr">
        <is>
          <t>ภาคเรียนที่ 2</t>
        </is>
      </c>
      <c r="B41" s="758">
        <f>INDEX('ประเมินพัฒนาการ-ภ2'!$AQ$9:$AQ$13,1)&amp;""</f>
        <v/>
      </c>
    </row>
    <row r="42" ht="16" customHeight="1"/>
    <row r="43" ht="16" customHeight="1"/>
    <row r="44" ht="16" customHeight="1">
      <c r="A44" s="759" t="inlineStr">
        <is>
          <t>ลงชื่อ ..........................................</t>
        </is>
      </c>
      <c r="D44" s="759" t="inlineStr">
        <is>
          <t>ลงชื่อ ..........................................</t>
        </is>
      </c>
      <c r="G44" s="759" t="inlineStr">
        <is>
          <t>ลงชื่อ ..........................................</t>
        </is>
      </c>
    </row>
    <row r="45" ht="16" customHeight="1">
      <c r="A45" s="759">
        <f>"( "&amp;IF('ข้อมูลโรงเรียน'!$C$9="","..........................................",'ข้อมูลโรงเรียน'!$C$9)&amp;" )"</f>
        <v/>
      </c>
      <c r="D45" s="759">
        <f>"( "&amp;IF('ข้อมูลโรงเรียน'!$C$11="","..........................................",'ข้อมูลโรงเรียน'!$C$11)&amp;" )"</f>
        <v/>
      </c>
      <c r="G45" s="759" t="inlineStr">
        <is>
          <t>( .......................................... )</t>
        </is>
      </c>
    </row>
    <row r="46" ht="16" customHeight="1">
      <c r="A46" s="760" t="inlineStr">
        <is>
          <t>ครูประจำชั้น</t>
        </is>
      </c>
      <c r="D46" s="760" t="inlineStr">
        <is>
          <t>ผู้บริหารสถานศึกษา</t>
        </is>
      </c>
      <c r="G46" s="760" t="inlineStr">
        <is>
          <t>ผู้ปกครอง</t>
        </is>
      </c>
    </row>
    <row r="47" ht="16" customHeight="1"/>
    <row r="48" ht="16" customHeight="1"/>
    <row r="49" ht="26" customHeight="1">
      <c r="A49" s="723" t="inlineStr">
        <is>
          <t>สมุดรายงานประจำตัวนักเรียน</t>
        </is>
      </c>
    </row>
    <row r="50" ht="16" customHeight="1">
      <c r="A50" s="725">
        <f>"โรงเรียน"&amp;'ข้อมูลโรงเรียน'!$C$5&amp;IF('ข้อมูลโรงเรียน'!$C$6="",""," • "&amp;'ข้อมูลโรงเรียน'!$C$6)</f>
        <v/>
      </c>
    </row>
    <row r="51" ht="16" customHeight="1">
      <c r="A51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</row>
    <row r="52" ht="16" customHeight="1"/>
    <row r="53" ht="18" customHeight="1">
      <c r="A53" s="730" t="inlineStr">
        <is>
          <t xml:space="preserve">  ข้อมูลนักเรียน</t>
        </is>
      </c>
      <c r="B53" s="731" t="n"/>
      <c r="C53" s="731" t="n"/>
      <c r="D53" s="731" t="n"/>
      <c r="E53" s="731" t="n"/>
      <c r="F53" s="731" t="n"/>
      <c r="G53" s="731" t="n"/>
      <c r="H53" s="731" t="n"/>
    </row>
    <row r="54" ht="16" customHeight="1">
      <c r="A54" s="732" t="inlineStr">
        <is>
          <t>ชื่อ - สกุล</t>
        </is>
      </c>
      <c r="B54" s="733">
        <f>INDEX('ข้อมูลนักเรียน'!$T$9:$T$13,2)&amp;""</f>
        <v/>
      </c>
      <c r="E54" s="732" t="inlineStr">
        <is>
          <t>ชื่อเล่น</t>
        </is>
      </c>
      <c r="F54" s="157">
        <f>INDEX('ข้อมูลนักเรียน'!$G$9:$G$13,2)&amp;""</f>
        <v/>
      </c>
      <c r="G54" s="732" t="inlineStr">
        <is>
          <t>เลขที่</t>
        </is>
      </c>
      <c r="H54" s="157">
        <f>2</f>
        <v/>
      </c>
    </row>
    <row r="55" ht="16" customHeight="1">
      <c r="A55" s="732" t="inlineStr">
        <is>
          <t>เลขประจำตัว</t>
        </is>
      </c>
      <c r="B55" s="157">
        <f>INDEX('ข้อมูลนักเรียน'!$B$9:$B$13,2)&amp;""</f>
        <v/>
      </c>
      <c r="C55" s="732" t="inlineStr">
        <is>
          <t>วันเกิด</t>
        </is>
      </c>
      <c r="D55" s="157">
        <f>IF(INDEX('ข้อมูลนักเรียน'!$S$9:$S$13,2)="","",DAY(INDEX('ข้อมูลนักเรียน'!$S$9:$S$13,2))&amp;" "&amp;CHOOSE(MONTH(INDEX('ข้อมูลนักเรียน'!$S$9:$S$13,2)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"&amp;(YEAR(INDEX('ข้อมูลนักเรียน'!$S$9:$S$13,2))+543))</f>
        <v/>
      </c>
      <c r="F55" s="732" t="inlineStr">
        <is>
          <t>อายุ</t>
        </is>
      </c>
      <c r="G55" s="157">
        <f>INDEX('ข้อมูลนักเรียน'!$K$9:$K$13,2)&amp;""</f>
        <v/>
      </c>
    </row>
    <row r="56" ht="16" customHeight="1">
      <c r="A56" s="732" t="inlineStr">
        <is>
          <t>กรุ๊ปเลือด</t>
        </is>
      </c>
      <c r="B56" s="157">
        <f>INDEX('ข้อมูลนักเรียน'!$L$9:$L$13,2)&amp;""</f>
        <v/>
      </c>
      <c r="C56" s="732" t="inlineStr">
        <is>
          <t>โรคประจำตัว/แพ้</t>
        </is>
      </c>
      <c r="D56" s="242">
        <f>INDEX('ข้อมูลนักเรียน'!$M$9:$M$13,2)&amp;""</f>
        <v/>
      </c>
    </row>
    <row r="57" ht="16" customHeight="1">
      <c r="A57" s="732" t="inlineStr">
        <is>
          <t>ผู้ปกครอง</t>
        </is>
      </c>
      <c r="B57" s="242">
        <f>INDEX('ข้อมูลนักเรียน'!$N$9:$N$13,2)&amp;IF(INDEX('ข้อมูลนักเรียน'!$O$9:$O$13,2)="",""," ("&amp;INDEX('ข้อมูลนักเรียน'!$O$9:$O$13,2)&amp;")")</f>
        <v/>
      </c>
      <c r="E57" s="732" t="inlineStr">
        <is>
          <t>โทรศัพท์</t>
        </is>
      </c>
      <c r="F57" s="157">
        <f>INDEX('ข้อมูลนักเรียน'!$P$9:$P$13,2)&amp;""</f>
        <v/>
      </c>
    </row>
    <row r="58" ht="16" customHeight="1"/>
    <row r="59" ht="18" customHeight="1">
      <c r="A59" s="734" t="inlineStr">
        <is>
          <t xml:space="preserve">  1. การมาเรียน</t>
        </is>
      </c>
      <c r="B59" s="129" t="n"/>
      <c r="C59" s="129" t="n"/>
      <c r="D59" s="129" t="n"/>
      <c r="E59" s="129" t="n"/>
      <c r="F59" s="129" t="n"/>
      <c r="G59" s="129" t="n"/>
      <c r="H59" s="129" t="n"/>
    </row>
    <row r="60" ht="16" customHeight="1">
      <c r="A60" s="260" t="inlineStr">
        <is>
          <t>ภาคเรียน</t>
        </is>
      </c>
      <c r="B60" s="260" t="inlineStr">
        <is>
          <t>วันเปิดเรียน</t>
        </is>
      </c>
      <c r="C60" s="260" t="inlineStr">
        <is>
          <t>มา</t>
        </is>
      </c>
      <c r="D60" s="260" t="inlineStr">
        <is>
          <t>สาย</t>
        </is>
      </c>
      <c r="E60" s="260" t="inlineStr">
        <is>
          <t>ลา</t>
        </is>
      </c>
      <c r="F60" s="260" t="inlineStr">
        <is>
          <t>ป่วย</t>
        </is>
      </c>
      <c r="G60" s="260" t="inlineStr">
        <is>
          <t>ขาด</t>
        </is>
      </c>
      <c r="H60" s="260" t="inlineStr">
        <is>
          <t>ร้อยละมาเรียน</t>
        </is>
      </c>
    </row>
    <row r="61" ht="16" customHeight="1">
      <c r="A61" s="736" t="inlineStr">
        <is>
          <t>ภาคเรียนที่ 1</t>
        </is>
      </c>
      <c r="B61" s="157">
        <f>COUNTIF('ปฏิทิน'!$D$2:$GY$2,1)</f>
        <v/>
      </c>
      <c r="C61" s="157">
        <f>IF(INDEX('ข้อมูลนักเรียน'!$T$9:$T$13,2)="","",COUNTIF(INDEX('มาเรียน-ภ1'!$D$9:$GY$13,2,0),"ม"))</f>
        <v/>
      </c>
      <c r="D61" s="157">
        <f>IF(INDEX('ข้อมูลนักเรียน'!$T$9:$T$13,2)="","",COUNTIF(INDEX('มาเรียน-ภ1'!$D$9:$GY$13,2,0),"ส"))</f>
        <v/>
      </c>
      <c r="E61" s="157">
        <f>IF(INDEX('ข้อมูลนักเรียน'!$T$9:$T$13,2)="","",COUNTIF(INDEX('มาเรียน-ภ1'!$D$9:$GY$13,2,0),"ล"))</f>
        <v/>
      </c>
      <c r="F61" s="157">
        <f>IF(INDEX('ข้อมูลนักเรียน'!$T$9:$T$13,2)="","",COUNTIF(INDEX('มาเรียน-ภ1'!$D$9:$GY$13,2,0),"ป"))</f>
        <v/>
      </c>
      <c r="G61" s="157">
        <f>IF(INDEX('ข้อมูลนักเรียน'!$T$9:$T$13,2)="","",COUNTIF(INDEX('มาเรียน-ภ1'!$D$9:$GY$13,2,0),"ข"))</f>
        <v/>
      </c>
      <c r="H61" s="737">
        <f>IF(INDEX('ข้อมูลนักเรียน'!$T$9:$T$13,2)="","",IFERROR((C61+D61)/SUM(C61:G61),"-"))</f>
        <v/>
      </c>
    </row>
    <row r="62" ht="16" customHeight="1">
      <c r="A62" s="736" t="inlineStr">
        <is>
          <t>ภาคเรียนที่ 2</t>
        </is>
      </c>
      <c r="B62" s="157">
        <f>COUNTIF('ปฏิทิน'!$D$6:$FQ$6,1)</f>
        <v/>
      </c>
      <c r="C62" s="157">
        <f>IF(INDEX('ข้อมูลนักเรียน'!$T$9:$T$13,2)="","",COUNTIF(INDEX('มาเรียน-ภ2'!$D$9:$FQ$13,2,0),"ม"))</f>
        <v/>
      </c>
      <c r="D62" s="157">
        <f>IF(INDEX('ข้อมูลนักเรียน'!$T$9:$T$13,2)="","",COUNTIF(INDEX('มาเรียน-ภ2'!$D$9:$FQ$13,2,0),"ส"))</f>
        <v/>
      </c>
      <c r="E62" s="157">
        <f>IF(INDEX('ข้อมูลนักเรียน'!$T$9:$T$13,2)="","",COUNTIF(INDEX('มาเรียน-ภ2'!$D$9:$FQ$13,2,0),"ล"))</f>
        <v/>
      </c>
      <c r="F62" s="157">
        <f>IF(INDEX('ข้อมูลนักเรียน'!$T$9:$T$13,2)="","",COUNTIF(INDEX('มาเรียน-ภ2'!$D$9:$FQ$13,2,0),"ป"))</f>
        <v/>
      </c>
      <c r="G62" s="157">
        <f>IF(INDEX('ข้อมูลนักเรียน'!$T$9:$T$13,2)="","",COUNTIF(INDEX('มาเรียน-ภ2'!$D$9:$FQ$13,2,0),"ข"))</f>
        <v/>
      </c>
      <c r="H62" s="737">
        <f>IF(INDEX('ข้อมูลนักเรียน'!$T$9:$T$13,2)="","",IFERROR((C62+D62)/SUM(C62:G62),"-"))</f>
        <v/>
      </c>
    </row>
    <row r="63" ht="16" customHeight="1">
      <c r="A63" s="738" t="inlineStr">
        <is>
          <t>รวมทั้งปี</t>
        </is>
      </c>
      <c r="B63" s="739">
        <f>B61+B62</f>
        <v/>
      </c>
      <c r="C63" s="739">
        <f>IF(INDEX('ข้อมูลนักเรียน'!$T$9:$T$13,2)="","",N(C61)+N(C62))</f>
        <v/>
      </c>
      <c r="D63" s="739">
        <f>IF(INDEX('ข้อมูลนักเรียน'!$T$9:$T$13,2)="","",N(D61)+N(D62))</f>
        <v/>
      </c>
      <c r="E63" s="739">
        <f>IF(INDEX('ข้อมูลนักเรียน'!$T$9:$T$13,2)="","",N(E61)+N(E62))</f>
        <v/>
      </c>
      <c r="F63" s="739">
        <f>IF(INDEX('ข้อมูลนักเรียน'!$T$9:$T$13,2)="","",N(F61)+N(F62))</f>
        <v/>
      </c>
      <c r="G63" s="739">
        <f>IF(INDEX('ข้อมูลนักเรียน'!$T$9:$T$13,2)="","",N(G61)+N(G62))</f>
        <v/>
      </c>
      <c r="H63" s="737">
        <f>IF(INDEX('ข้อมูลนักเรียน'!$T$9:$T$13,2)="","",IFERROR((C63+D63)/SUM(C63:G63),"-"))</f>
        <v/>
      </c>
    </row>
    <row r="64" ht="16" customHeight="1"/>
    <row r="65" ht="18" customHeight="1">
      <c r="A65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65" s="741" t="n"/>
      <c r="C65" s="741" t="n"/>
      <c r="D65" s="741" t="n"/>
      <c r="E65" s="741" t="n"/>
      <c r="F65" s="741" t="n"/>
      <c r="G65" s="741" t="n"/>
      <c r="H65" s="741" t="n"/>
    </row>
    <row r="66" ht="16" customHeight="1">
      <c r="A66" s="742" t="inlineStr">
        <is>
          <t>ภาคเรียน</t>
        </is>
      </c>
      <c r="B66" s="742" t="inlineStr">
        <is>
          <t>เดือนที่วัด</t>
        </is>
      </c>
      <c r="C66" s="742" t="inlineStr">
        <is>
          <t>น้ำหนัก (กก.)</t>
        </is>
      </c>
      <c r="D66" s="742" t="inlineStr">
        <is>
          <t>ส่วนสูง (ซม.)</t>
        </is>
      </c>
      <c r="E66" s="742" t="inlineStr">
        <is>
          <t>น้ำหนักตามเกณฑ์ส่วนสูง</t>
        </is>
      </c>
      <c r="G66" s="742" t="inlineStr">
        <is>
          <t>ส่วนสูงตามเกณฑ์อายุ</t>
        </is>
      </c>
    </row>
    <row r="67" ht="16" customHeight="1">
      <c r="A67" s="732" t="inlineStr">
        <is>
          <t>ภาคเรียนที่ 1</t>
        </is>
      </c>
      <c r="B67" s="157">
        <f>INDEX('น้ำหนักส่วนสูง'!$CS$9:$CS$13,2)&amp;""</f>
        <v/>
      </c>
      <c r="C67" s="743">
        <f>IF(N(INDEX('น้ำหนักส่วนสูง'!$CO$9:$CO$13,2))=0,"",INDEX('น้ำหนักส่วนสูง'!$CO$9:$CO$13,2))</f>
        <v/>
      </c>
      <c r="D67" s="743">
        <f>IF(N(INDEX('น้ำหนักส่วนสูง'!$CP$9:$CP$13,2))=0,"",INDEX('น้ำหนักส่วนสูง'!$CP$9:$CP$13,2))</f>
        <v/>
      </c>
      <c r="E67" s="739">
        <f>INDEX('น้ำหนักส่วนสูง'!$CQ$9:$CQ$13,2)&amp;""</f>
        <v/>
      </c>
      <c r="G67" s="739">
        <f>INDEX('น้ำหนักส่วนสูง'!$CR$9:$CR$13,2)&amp;""</f>
        <v/>
      </c>
    </row>
    <row r="68" ht="16" customHeight="1">
      <c r="A68" s="732" t="inlineStr">
        <is>
          <t>ภาคเรียนที่ 2</t>
        </is>
      </c>
      <c r="B68" s="157">
        <f>INDEX('น้ำหนักส่วนสูง'!$CX$9:$CX$13,2)&amp;""</f>
        <v/>
      </c>
      <c r="C68" s="743">
        <f>IF(N(INDEX('น้ำหนักส่วนสูง'!$CT$9:$CT$13,2))=0,"",INDEX('น้ำหนักส่วนสูง'!$CT$9:$CT$13,2))</f>
        <v/>
      </c>
      <c r="D68" s="743">
        <f>IF(N(INDEX('น้ำหนักส่วนสูง'!$CU$9:$CU$13,2))=0,"",INDEX('น้ำหนักส่วนสูง'!$CU$9:$CU$13,2))</f>
        <v/>
      </c>
      <c r="E68" s="739">
        <f>INDEX('น้ำหนักส่วนสูง'!$CV$9:$CV$13,2)&amp;""</f>
        <v/>
      </c>
      <c r="G68" s="739">
        <f>INDEX('น้ำหนักส่วนสูง'!$CW$9:$CW$13,2)&amp;""</f>
        <v/>
      </c>
    </row>
    <row r="69" ht="16" customHeight="1"/>
    <row r="70" ht="18" customHeight="1">
      <c r="A70" s="744" t="inlineStr">
        <is>
          <t xml:space="preserve">  3. ผลการประเมินพัฒนาการ (หลักสูตรการศึกษาปฐมวัย พ.ศ. 2560)</t>
        </is>
      </c>
      <c r="B70" s="745" t="n"/>
      <c r="C70" s="745" t="n"/>
      <c r="D70" s="745" t="n"/>
      <c r="E70" s="745" t="n"/>
      <c r="F70" s="745" t="n"/>
      <c r="G70" s="745" t="n"/>
      <c r="H70" s="745" t="n"/>
    </row>
    <row r="71" ht="16" customHeight="1">
      <c r="A71" s="746" t="inlineStr">
        <is>
          <t>พัฒนาการ</t>
        </is>
      </c>
      <c r="E71" s="746" t="inlineStr">
        <is>
          <t>ภาค 1 คะแนน</t>
        </is>
      </c>
      <c r="F71" s="746" t="inlineStr">
        <is>
          <t>ภาค 1 ผล</t>
        </is>
      </c>
      <c r="G71" s="746" t="inlineStr">
        <is>
          <t>ภาค 2 คะแนน</t>
        </is>
      </c>
      <c r="H71" s="746" t="inlineStr">
        <is>
          <t>ภาค 2 ผล</t>
        </is>
      </c>
    </row>
    <row r="72" ht="16" customHeight="1">
      <c r="A72" s="747" t="inlineStr">
        <is>
          <t>ด้านร่างกาย</t>
        </is>
      </c>
      <c r="E72" s="748">
        <f>INDEX('ประเมินพัฒนาการ-ภ1'!$AG$9:$AG$13,2)&amp;""</f>
        <v/>
      </c>
      <c r="F72" s="739">
        <f>INDEX('ประเมินพัฒนาการ-ภ1'!$AH$9:$AH$13,2)&amp;""</f>
        <v/>
      </c>
      <c r="G72" s="748">
        <f>INDEX('ประเมินพัฒนาการ-ภ2'!$AG$9:$AG$13,2)&amp;""</f>
        <v/>
      </c>
      <c r="H72" s="739">
        <f>INDEX('ประเมินพัฒนาการ-ภ2'!$AH$9:$AH$13,2)&amp;""</f>
        <v/>
      </c>
    </row>
    <row r="73" ht="16" customHeight="1">
      <c r="A73" s="747" t="inlineStr">
        <is>
          <t>ด้านอารมณ์ จิตใจ</t>
        </is>
      </c>
      <c r="E73" s="748">
        <f>INDEX('ประเมินพัฒนาการ-ภ1'!$AI$9:$AI$13,2)&amp;""</f>
        <v/>
      </c>
      <c r="F73" s="739">
        <f>INDEX('ประเมินพัฒนาการ-ภ1'!$AJ$9:$AJ$13,2)&amp;""</f>
        <v/>
      </c>
      <c r="G73" s="748">
        <f>INDEX('ประเมินพัฒนาการ-ภ2'!$AI$9:$AI$13,2)&amp;""</f>
        <v/>
      </c>
      <c r="H73" s="739">
        <f>INDEX('ประเมินพัฒนาการ-ภ2'!$AJ$9:$AJ$13,2)&amp;""</f>
        <v/>
      </c>
    </row>
    <row r="74" ht="16" customHeight="1">
      <c r="A74" s="747" t="inlineStr">
        <is>
          <t>ด้านสังคม</t>
        </is>
      </c>
      <c r="E74" s="748">
        <f>INDEX('ประเมินพัฒนาการ-ภ1'!$AK$9:$AK$13,2)&amp;""</f>
        <v/>
      </c>
      <c r="F74" s="739">
        <f>INDEX('ประเมินพัฒนาการ-ภ1'!$AL$9:$AL$13,2)&amp;""</f>
        <v/>
      </c>
      <c r="G74" s="748">
        <f>INDEX('ประเมินพัฒนาการ-ภ2'!$AK$9:$AK$13,2)&amp;""</f>
        <v/>
      </c>
      <c r="H74" s="739">
        <f>INDEX('ประเมินพัฒนาการ-ภ2'!$AL$9:$AL$13,2)&amp;""</f>
        <v/>
      </c>
    </row>
    <row r="75" ht="16" customHeight="1">
      <c r="A75" s="747" t="inlineStr">
        <is>
          <t>ด้านสติปัญญา</t>
        </is>
      </c>
      <c r="E75" s="748">
        <f>INDEX('ประเมินพัฒนาการ-ภ1'!$AM$9:$AM$13,2)&amp;""</f>
        <v/>
      </c>
      <c r="F75" s="739">
        <f>INDEX('ประเมินพัฒนาการ-ภ1'!$AN$9:$AN$13,2)&amp;""</f>
        <v/>
      </c>
      <c r="G75" s="748">
        <f>INDEX('ประเมินพัฒนาการ-ภ2'!$AM$9:$AM$13,2)&amp;""</f>
        <v/>
      </c>
      <c r="H75" s="739">
        <f>INDEX('ประเมินพัฒนาการ-ภ2'!$AN$9:$AN$13,2)&amp;""</f>
        <v/>
      </c>
    </row>
    <row r="76" ht="16" customHeight="1">
      <c r="A76" s="747" t="inlineStr">
        <is>
          <t>ภาพรวม</t>
        </is>
      </c>
      <c r="E76" s="748">
        <f>INDEX('ประเมินพัฒนาการ-ภ1'!$AO$9:$AO$13,2)&amp;""</f>
        <v/>
      </c>
      <c r="F76" s="739">
        <f>INDEX('ประเมินพัฒนาการ-ภ1'!$AP$9:$AP$13,2)&amp;""</f>
        <v/>
      </c>
      <c r="G76" s="748">
        <f>INDEX('ประเมินพัฒนาการ-ภ2'!$AO$9:$AO$13,2)&amp;""</f>
        <v/>
      </c>
      <c r="H76" s="739">
        <f>INDEX('ประเมินพัฒนาการ-ภ2'!$AP$9:$AP$13,2)&amp;""</f>
        <v/>
      </c>
    </row>
    <row r="77" ht="16" customHeight="1"/>
    <row r="78" ht="18" customHeight="1">
      <c r="A78" s="749" t="inlineStr">
        <is>
          <t xml:space="preserve">  4. สุขนิสัยและกิจวัตรประจำวัน (ร้อยละของวันที่บันทึก)</t>
        </is>
      </c>
      <c r="B78" s="750" t="n"/>
      <c r="C78" s="750" t="n"/>
      <c r="D78" s="750" t="n"/>
      <c r="E78" s="750" t="n"/>
      <c r="F78" s="750" t="n"/>
      <c r="G78" s="750" t="n"/>
      <c r="H78" s="750" t="n"/>
    </row>
    <row r="79" ht="16" customHeight="1">
      <c r="A79" s="751" t="inlineStr">
        <is>
          <t>รายการ</t>
        </is>
      </c>
      <c r="E79" s="751" t="inlineStr">
        <is>
          <t>ภาคเรียนที่ 1</t>
        </is>
      </c>
      <c r="G79" s="751" t="inlineStr">
        <is>
          <t>ภาคเรียนที่ 2</t>
        </is>
      </c>
    </row>
    <row r="80" ht="16" customHeight="1">
      <c r="A80" s="752" t="inlineStr">
        <is>
          <t>ดื่มนม</t>
        </is>
      </c>
      <c r="E80" s="145">
        <f>IF(INDEX('ข้อมูลนักเรียน'!$T$9:$T$13,2)="","",INDEX('ดื่มนม-ภ1'!$C$9:$C$13,2))</f>
        <v/>
      </c>
      <c r="G80" s="145">
        <f>IF(INDEX('ข้อมูลนักเรียน'!$T$9:$T$13,2)="","",INDEX('ดื่มนม-ภ2'!$C$9:$C$13,2))</f>
        <v/>
      </c>
    </row>
    <row r="81" ht="16" customHeight="1">
      <c r="A81" s="752" t="inlineStr">
        <is>
          <t>แปรงฟันหลังอาหารกลางวัน</t>
        </is>
      </c>
      <c r="E81" s="145">
        <f>IF(INDEX('ข้อมูลนักเรียน'!$T$9:$T$13,2)="","",INDEX('แปรงฟัน-ภ1'!$C$9:$C$13,2))</f>
        <v/>
      </c>
      <c r="G81" s="145">
        <f>IF(INDEX('ข้อมูลนักเรียน'!$T$9:$T$13,2)="","",INDEX('แปรงฟัน-ภ2'!$C$9:$C$13,2))</f>
        <v/>
      </c>
    </row>
    <row r="82" ht="16" customHeight="1">
      <c r="A82" s="752" t="inlineStr">
        <is>
          <t>รับประทานอาหารกลางวันหมด</t>
        </is>
      </c>
      <c r="E82" s="145">
        <f>IF(INDEX('ข้อมูลนักเรียน'!$T$9:$T$13,2)="","",INDEX('อาหารกลางวัน-ภ1'!$C$9:$C$13,2))</f>
        <v/>
      </c>
      <c r="G82" s="145">
        <f>IF(INDEX('ข้อมูลนักเรียน'!$T$9:$T$13,2)="","",INDEX('อาหารกลางวัน-ภ2'!$C$9:$C$13,2))</f>
        <v/>
      </c>
    </row>
    <row r="83" ht="16" customHeight="1">
      <c r="A83" s="752" t="inlineStr">
        <is>
          <t>ออกกำลังกาย</t>
        </is>
      </c>
      <c r="E83" s="145">
        <f>IF(INDEX('ข้อมูลนักเรียน'!$T$9:$T$13,2)="","",INDEX('ออกกำลังกาย-ภ1'!$C$9:$C$13,2))</f>
        <v/>
      </c>
      <c r="G83" s="145">
        <f>IF(INDEX('ข้อมูลนักเรียน'!$T$9:$T$13,2)="","",INDEX('ออกกำลังกาย-ภ2'!$C$9:$C$13,2))</f>
        <v/>
      </c>
    </row>
    <row r="84" ht="16" customHeight="1">
      <c r="A84" s="752" t="inlineStr">
        <is>
          <t>ร่วมกิจกรรมหน้าเสาธง</t>
        </is>
      </c>
      <c r="E84" s="145">
        <f>IF(INDEX('ข้อมูลนักเรียน'!$T$9:$T$13,2)="","",INDEX('เสาธง-ภ1'!$C$9:$C$13,2))</f>
        <v/>
      </c>
      <c r="G84" s="145">
        <f>IF(INDEX('ข้อมูลนักเรียน'!$T$9:$T$13,2)="","",INDEX('เสาธง-ภ2'!$C$9:$C$13,2))</f>
        <v/>
      </c>
    </row>
    <row r="85" ht="16" customHeight="1">
      <c r="A85" s="753" t="inlineStr">
        <is>
          <t>เงินออมคงเหลือ ณ วันที่พิมพ์ (บาท)</t>
        </is>
      </c>
      <c r="E85" s="754">
        <f>IF(INDEX('ข้อมูลนักเรียน'!$T$9:$T$13,2)="","",INDEX('สรุปออมเงิน'!$Q$9:$Q$13,2))</f>
        <v/>
      </c>
    </row>
    <row r="86" ht="16" customHeight="1"/>
    <row r="87" ht="18" customHeight="1">
      <c r="A87" s="755" t="inlineStr">
        <is>
          <t xml:space="preserve">  5. ความคิดเห็นของครู</t>
        </is>
      </c>
      <c r="B87" s="756" t="n"/>
      <c r="C87" s="756" t="n"/>
      <c r="D87" s="756" t="n"/>
      <c r="E87" s="756" t="n"/>
      <c r="F87" s="756" t="n"/>
      <c r="G87" s="756" t="n"/>
      <c r="H87" s="756" t="n"/>
    </row>
    <row r="88" ht="34" customHeight="1">
      <c r="A88" s="757" t="inlineStr">
        <is>
          <t>ภาคเรียนที่ 1</t>
        </is>
      </c>
      <c r="B88" s="758">
        <f>INDEX('ประเมินพัฒนาการ-ภ1'!$AQ$9:$AQ$13,2)&amp;""</f>
        <v/>
      </c>
    </row>
    <row r="89" ht="34" customHeight="1">
      <c r="A89" s="757" t="inlineStr">
        <is>
          <t>ภาคเรียนที่ 2</t>
        </is>
      </c>
      <c r="B89" s="758">
        <f>INDEX('ประเมินพัฒนาการ-ภ2'!$AQ$9:$AQ$13,2)&amp;""</f>
        <v/>
      </c>
    </row>
    <row r="90" ht="16" customHeight="1"/>
    <row r="91" ht="16" customHeight="1"/>
    <row r="92" ht="16" customHeight="1">
      <c r="A92" s="759" t="inlineStr">
        <is>
          <t>ลงชื่อ ..........................................</t>
        </is>
      </c>
      <c r="D92" s="759" t="inlineStr">
        <is>
          <t>ลงชื่อ ..........................................</t>
        </is>
      </c>
      <c r="G92" s="759" t="inlineStr">
        <is>
          <t>ลงชื่อ ..........................................</t>
        </is>
      </c>
    </row>
    <row r="93" ht="16" customHeight="1">
      <c r="A93" s="759">
        <f>"( "&amp;IF('ข้อมูลโรงเรียน'!$C$9="","..........................................",'ข้อมูลโรงเรียน'!$C$9)&amp;" )"</f>
        <v/>
      </c>
      <c r="D93" s="759">
        <f>"( "&amp;IF('ข้อมูลโรงเรียน'!$C$11="","..........................................",'ข้อมูลโรงเรียน'!$C$11)&amp;" )"</f>
        <v/>
      </c>
      <c r="G93" s="759" t="inlineStr">
        <is>
          <t>( .......................................... )</t>
        </is>
      </c>
    </row>
    <row r="94" ht="16" customHeight="1">
      <c r="A94" s="760" t="inlineStr">
        <is>
          <t>ครูประจำชั้น</t>
        </is>
      </c>
      <c r="D94" s="760" t="inlineStr">
        <is>
          <t>ผู้บริหารสถานศึกษา</t>
        </is>
      </c>
      <c r="G94" s="760" t="inlineStr">
        <is>
          <t>ผู้ปกครอง</t>
        </is>
      </c>
    </row>
    <row r="95" ht="16" customHeight="1"/>
    <row r="96" ht="16" customHeight="1"/>
    <row r="97" ht="26" customHeight="1">
      <c r="A97" s="723" t="inlineStr">
        <is>
          <t>สมุดรายงานประจำตัวนักเรียน</t>
        </is>
      </c>
    </row>
    <row r="98" ht="16" customHeight="1">
      <c r="A98" s="725">
        <f>"โรงเรียน"&amp;'ข้อมูลโรงเรียน'!$C$5&amp;IF('ข้อมูลโรงเรียน'!$C$6="",""," • "&amp;'ข้อมูลโรงเรียน'!$C$6)</f>
        <v/>
      </c>
    </row>
    <row r="99" ht="16" customHeight="1">
      <c r="A99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</row>
    <row r="100" ht="16" customHeight="1"/>
    <row r="101" ht="18" customHeight="1">
      <c r="A101" s="730" t="inlineStr">
        <is>
          <t xml:space="preserve">  ข้อมูลนักเรียน</t>
        </is>
      </c>
      <c r="B101" s="731" t="n"/>
      <c r="C101" s="731" t="n"/>
      <c r="D101" s="731" t="n"/>
      <c r="E101" s="731" t="n"/>
      <c r="F101" s="731" t="n"/>
      <c r="G101" s="731" t="n"/>
      <c r="H101" s="731" t="n"/>
    </row>
    <row r="102" ht="16" customHeight="1">
      <c r="A102" s="732" t="inlineStr">
        <is>
          <t>ชื่อ - สกุล</t>
        </is>
      </c>
      <c r="B102" s="733">
        <f>INDEX('ข้อมูลนักเรียน'!$T$9:$T$13,3)&amp;""</f>
        <v/>
      </c>
      <c r="E102" s="732" t="inlineStr">
        <is>
          <t>ชื่อเล่น</t>
        </is>
      </c>
      <c r="F102" s="157">
        <f>INDEX('ข้อมูลนักเรียน'!$G$9:$G$13,3)&amp;""</f>
        <v/>
      </c>
      <c r="G102" s="732" t="inlineStr">
        <is>
          <t>เลขที่</t>
        </is>
      </c>
      <c r="H102" s="157">
        <f>3</f>
        <v/>
      </c>
    </row>
    <row r="103" ht="16" customHeight="1">
      <c r="A103" s="732" t="inlineStr">
        <is>
          <t>เลขประจำตัว</t>
        </is>
      </c>
      <c r="B103" s="157">
        <f>INDEX('ข้อมูลนักเรียน'!$B$9:$B$13,3)&amp;""</f>
        <v/>
      </c>
      <c r="C103" s="732" t="inlineStr">
        <is>
          <t>วันเกิด</t>
        </is>
      </c>
      <c r="D103" s="157">
        <f>IF(INDEX('ข้อมูลนักเรียน'!$S$9:$S$13,3)="","",DAY(INDEX('ข้อมูลนักเรียน'!$S$9:$S$13,3))&amp;" "&amp;CHOOSE(MONTH(INDEX('ข้อมูลนักเรียน'!$S$9:$S$13,3)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"&amp;(YEAR(INDEX('ข้อมูลนักเรียน'!$S$9:$S$13,3))+543))</f>
        <v/>
      </c>
      <c r="F103" s="732" t="inlineStr">
        <is>
          <t>อายุ</t>
        </is>
      </c>
      <c r="G103" s="157">
        <f>INDEX('ข้อมูลนักเรียน'!$K$9:$K$13,3)&amp;""</f>
        <v/>
      </c>
    </row>
    <row r="104" ht="16" customHeight="1">
      <c r="A104" s="732" t="inlineStr">
        <is>
          <t>กรุ๊ปเลือด</t>
        </is>
      </c>
      <c r="B104" s="157">
        <f>INDEX('ข้อมูลนักเรียน'!$L$9:$L$13,3)&amp;""</f>
        <v/>
      </c>
      <c r="C104" s="732" t="inlineStr">
        <is>
          <t>โรคประจำตัว/แพ้</t>
        </is>
      </c>
      <c r="D104" s="242">
        <f>INDEX('ข้อมูลนักเรียน'!$M$9:$M$13,3)&amp;""</f>
        <v/>
      </c>
    </row>
    <row r="105" ht="16" customHeight="1">
      <c r="A105" s="732" t="inlineStr">
        <is>
          <t>ผู้ปกครอง</t>
        </is>
      </c>
      <c r="B105" s="242">
        <f>INDEX('ข้อมูลนักเรียน'!$N$9:$N$13,3)&amp;IF(INDEX('ข้อมูลนักเรียน'!$O$9:$O$13,3)="",""," ("&amp;INDEX('ข้อมูลนักเรียน'!$O$9:$O$13,3)&amp;")")</f>
        <v/>
      </c>
      <c r="E105" s="732" t="inlineStr">
        <is>
          <t>โทรศัพท์</t>
        </is>
      </c>
      <c r="F105" s="157">
        <f>INDEX('ข้อมูลนักเรียน'!$P$9:$P$13,3)&amp;""</f>
        <v/>
      </c>
    </row>
    <row r="106" ht="16" customHeight="1"/>
    <row r="107" ht="18" customHeight="1">
      <c r="A107" s="734" t="inlineStr">
        <is>
          <t xml:space="preserve">  1. การมาเรียน</t>
        </is>
      </c>
      <c r="B107" s="129" t="n"/>
      <c r="C107" s="129" t="n"/>
      <c r="D107" s="129" t="n"/>
      <c r="E107" s="129" t="n"/>
      <c r="F107" s="129" t="n"/>
      <c r="G107" s="129" t="n"/>
      <c r="H107" s="129" t="n"/>
    </row>
    <row r="108" ht="16" customHeight="1">
      <c r="A108" s="260" t="inlineStr">
        <is>
          <t>ภาคเรียน</t>
        </is>
      </c>
      <c r="B108" s="260" t="inlineStr">
        <is>
          <t>วันเปิดเรียน</t>
        </is>
      </c>
      <c r="C108" s="260" t="inlineStr">
        <is>
          <t>มา</t>
        </is>
      </c>
      <c r="D108" s="260" t="inlineStr">
        <is>
          <t>สาย</t>
        </is>
      </c>
      <c r="E108" s="260" t="inlineStr">
        <is>
          <t>ลา</t>
        </is>
      </c>
      <c r="F108" s="260" t="inlineStr">
        <is>
          <t>ป่วย</t>
        </is>
      </c>
      <c r="G108" s="260" t="inlineStr">
        <is>
          <t>ขาด</t>
        </is>
      </c>
      <c r="H108" s="260" t="inlineStr">
        <is>
          <t>ร้อยละมาเรียน</t>
        </is>
      </c>
    </row>
    <row r="109" ht="16" customHeight="1">
      <c r="A109" s="736" t="inlineStr">
        <is>
          <t>ภาคเรียนที่ 1</t>
        </is>
      </c>
      <c r="B109" s="157">
        <f>COUNTIF('ปฏิทิน'!$D$2:$GY$2,1)</f>
        <v/>
      </c>
      <c r="C109" s="157">
        <f>IF(INDEX('ข้อมูลนักเรียน'!$T$9:$T$13,3)="","",COUNTIF(INDEX('มาเรียน-ภ1'!$D$9:$GY$13,3,0),"ม"))</f>
        <v/>
      </c>
      <c r="D109" s="157">
        <f>IF(INDEX('ข้อมูลนักเรียน'!$T$9:$T$13,3)="","",COUNTIF(INDEX('มาเรียน-ภ1'!$D$9:$GY$13,3,0),"ส"))</f>
        <v/>
      </c>
      <c r="E109" s="157">
        <f>IF(INDEX('ข้อมูลนักเรียน'!$T$9:$T$13,3)="","",COUNTIF(INDEX('มาเรียน-ภ1'!$D$9:$GY$13,3,0),"ล"))</f>
        <v/>
      </c>
      <c r="F109" s="157">
        <f>IF(INDEX('ข้อมูลนักเรียน'!$T$9:$T$13,3)="","",COUNTIF(INDEX('มาเรียน-ภ1'!$D$9:$GY$13,3,0),"ป"))</f>
        <v/>
      </c>
      <c r="G109" s="157">
        <f>IF(INDEX('ข้อมูลนักเรียน'!$T$9:$T$13,3)="","",COUNTIF(INDEX('มาเรียน-ภ1'!$D$9:$GY$13,3,0),"ข"))</f>
        <v/>
      </c>
      <c r="H109" s="737">
        <f>IF(INDEX('ข้อมูลนักเรียน'!$T$9:$T$13,3)="","",IFERROR((C109+D109)/SUM(C109:G109),"-"))</f>
        <v/>
      </c>
    </row>
    <row r="110" ht="16" customHeight="1">
      <c r="A110" s="736" t="inlineStr">
        <is>
          <t>ภาคเรียนที่ 2</t>
        </is>
      </c>
      <c r="B110" s="157">
        <f>COUNTIF('ปฏิทิน'!$D$6:$FQ$6,1)</f>
        <v/>
      </c>
      <c r="C110" s="157">
        <f>IF(INDEX('ข้อมูลนักเรียน'!$T$9:$T$13,3)="","",COUNTIF(INDEX('มาเรียน-ภ2'!$D$9:$FQ$13,3,0),"ม"))</f>
        <v/>
      </c>
      <c r="D110" s="157">
        <f>IF(INDEX('ข้อมูลนักเรียน'!$T$9:$T$13,3)="","",COUNTIF(INDEX('มาเรียน-ภ2'!$D$9:$FQ$13,3,0),"ส"))</f>
        <v/>
      </c>
      <c r="E110" s="157">
        <f>IF(INDEX('ข้อมูลนักเรียน'!$T$9:$T$13,3)="","",COUNTIF(INDEX('มาเรียน-ภ2'!$D$9:$FQ$13,3,0),"ล"))</f>
        <v/>
      </c>
      <c r="F110" s="157">
        <f>IF(INDEX('ข้อมูลนักเรียน'!$T$9:$T$13,3)="","",COUNTIF(INDEX('มาเรียน-ภ2'!$D$9:$FQ$13,3,0),"ป"))</f>
        <v/>
      </c>
      <c r="G110" s="157">
        <f>IF(INDEX('ข้อมูลนักเรียน'!$T$9:$T$13,3)="","",COUNTIF(INDEX('มาเรียน-ภ2'!$D$9:$FQ$13,3,0),"ข"))</f>
        <v/>
      </c>
      <c r="H110" s="737">
        <f>IF(INDEX('ข้อมูลนักเรียน'!$T$9:$T$13,3)="","",IFERROR((C110+D110)/SUM(C110:G110),"-"))</f>
        <v/>
      </c>
    </row>
    <row r="111" ht="16" customHeight="1">
      <c r="A111" s="738" t="inlineStr">
        <is>
          <t>รวมทั้งปี</t>
        </is>
      </c>
      <c r="B111" s="739">
        <f>B109+B110</f>
        <v/>
      </c>
      <c r="C111" s="739">
        <f>IF(INDEX('ข้อมูลนักเรียน'!$T$9:$T$13,3)="","",N(C109)+N(C110))</f>
        <v/>
      </c>
      <c r="D111" s="739">
        <f>IF(INDEX('ข้อมูลนักเรียน'!$T$9:$T$13,3)="","",N(D109)+N(D110))</f>
        <v/>
      </c>
      <c r="E111" s="739">
        <f>IF(INDEX('ข้อมูลนักเรียน'!$T$9:$T$13,3)="","",N(E109)+N(E110))</f>
        <v/>
      </c>
      <c r="F111" s="739">
        <f>IF(INDEX('ข้อมูลนักเรียน'!$T$9:$T$13,3)="","",N(F109)+N(F110))</f>
        <v/>
      </c>
      <c r="G111" s="739">
        <f>IF(INDEX('ข้อมูลนักเรียน'!$T$9:$T$13,3)="","",N(G109)+N(G110))</f>
        <v/>
      </c>
      <c r="H111" s="737">
        <f>IF(INDEX('ข้อมูลนักเรียน'!$T$9:$T$13,3)="","",IFERROR((C111+D111)/SUM(C111:G111),"-"))</f>
        <v/>
      </c>
    </row>
    <row r="112" ht="16" customHeight="1"/>
    <row r="113" ht="18" customHeight="1">
      <c r="A113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113" s="741" t="n"/>
      <c r="C113" s="741" t="n"/>
      <c r="D113" s="741" t="n"/>
      <c r="E113" s="741" t="n"/>
      <c r="F113" s="741" t="n"/>
      <c r="G113" s="741" t="n"/>
      <c r="H113" s="741" t="n"/>
    </row>
    <row r="114" ht="16" customHeight="1">
      <c r="A114" s="742" t="inlineStr">
        <is>
          <t>ภาคเรียน</t>
        </is>
      </c>
      <c r="B114" s="742" t="inlineStr">
        <is>
          <t>เดือนที่วัด</t>
        </is>
      </c>
      <c r="C114" s="742" t="inlineStr">
        <is>
          <t>น้ำหนัก (กก.)</t>
        </is>
      </c>
      <c r="D114" s="742" t="inlineStr">
        <is>
          <t>ส่วนสูง (ซม.)</t>
        </is>
      </c>
      <c r="E114" s="742" t="inlineStr">
        <is>
          <t>น้ำหนักตามเกณฑ์ส่วนสูง</t>
        </is>
      </c>
      <c r="G114" s="742" t="inlineStr">
        <is>
          <t>ส่วนสูงตามเกณฑ์อายุ</t>
        </is>
      </c>
    </row>
    <row r="115" ht="16" customHeight="1">
      <c r="A115" s="732" t="inlineStr">
        <is>
          <t>ภาคเรียนที่ 1</t>
        </is>
      </c>
      <c r="B115" s="157">
        <f>INDEX('น้ำหนักส่วนสูง'!$CS$9:$CS$13,3)&amp;""</f>
        <v/>
      </c>
      <c r="C115" s="743">
        <f>IF(N(INDEX('น้ำหนักส่วนสูง'!$CO$9:$CO$13,3))=0,"",INDEX('น้ำหนักส่วนสูง'!$CO$9:$CO$13,3))</f>
        <v/>
      </c>
      <c r="D115" s="743">
        <f>IF(N(INDEX('น้ำหนักส่วนสูง'!$CP$9:$CP$13,3))=0,"",INDEX('น้ำหนักส่วนสูง'!$CP$9:$CP$13,3))</f>
        <v/>
      </c>
      <c r="E115" s="739">
        <f>INDEX('น้ำหนักส่วนสูง'!$CQ$9:$CQ$13,3)&amp;""</f>
        <v/>
      </c>
      <c r="G115" s="739">
        <f>INDEX('น้ำหนักส่วนสูง'!$CR$9:$CR$13,3)&amp;""</f>
        <v/>
      </c>
    </row>
    <row r="116" ht="16" customHeight="1">
      <c r="A116" s="732" t="inlineStr">
        <is>
          <t>ภาคเรียนที่ 2</t>
        </is>
      </c>
      <c r="B116" s="157">
        <f>INDEX('น้ำหนักส่วนสูง'!$CX$9:$CX$13,3)&amp;""</f>
        <v/>
      </c>
      <c r="C116" s="743">
        <f>IF(N(INDEX('น้ำหนักส่วนสูง'!$CT$9:$CT$13,3))=0,"",INDEX('น้ำหนักส่วนสูง'!$CT$9:$CT$13,3))</f>
        <v/>
      </c>
      <c r="D116" s="743">
        <f>IF(N(INDEX('น้ำหนักส่วนสูง'!$CU$9:$CU$13,3))=0,"",INDEX('น้ำหนักส่วนสูง'!$CU$9:$CU$13,3))</f>
        <v/>
      </c>
      <c r="E116" s="739">
        <f>INDEX('น้ำหนักส่วนสูง'!$CV$9:$CV$13,3)&amp;""</f>
        <v/>
      </c>
      <c r="G116" s="739">
        <f>INDEX('น้ำหนักส่วนสูง'!$CW$9:$CW$13,3)&amp;""</f>
        <v/>
      </c>
    </row>
    <row r="117" ht="16" customHeight="1"/>
    <row r="118" ht="18" customHeight="1">
      <c r="A118" s="744" t="inlineStr">
        <is>
          <t xml:space="preserve">  3. ผลการประเมินพัฒนาการ (หลักสูตรการศึกษาปฐมวัย พ.ศ. 2560)</t>
        </is>
      </c>
      <c r="B118" s="745" t="n"/>
      <c r="C118" s="745" t="n"/>
      <c r="D118" s="745" t="n"/>
      <c r="E118" s="745" t="n"/>
      <c r="F118" s="745" t="n"/>
      <c r="G118" s="745" t="n"/>
      <c r="H118" s="745" t="n"/>
    </row>
    <row r="119" ht="16" customHeight="1">
      <c r="A119" s="746" t="inlineStr">
        <is>
          <t>พัฒนาการ</t>
        </is>
      </c>
      <c r="E119" s="746" t="inlineStr">
        <is>
          <t>ภาค 1 คะแนน</t>
        </is>
      </c>
      <c r="F119" s="746" t="inlineStr">
        <is>
          <t>ภาค 1 ผล</t>
        </is>
      </c>
      <c r="G119" s="746" t="inlineStr">
        <is>
          <t>ภาค 2 คะแนน</t>
        </is>
      </c>
      <c r="H119" s="746" t="inlineStr">
        <is>
          <t>ภาค 2 ผล</t>
        </is>
      </c>
    </row>
    <row r="120" ht="16" customHeight="1">
      <c r="A120" s="747" t="inlineStr">
        <is>
          <t>ด้านร่างกาย</t>
        </is>
      </c>
      <c r="E120" s="748">
        <f>INDEX('ประเมินพัฒนาการ-ภ1'!$AG$9:$AG$13,3)&amp;""</f>
        <v/>
      </c>
      <c r="F120" s="739">
        <f>INDEX('ประเมินพัฒนาการ-ภ1'!$AH$9:$AH$13,3)&amp;""</f>
        <v/>
      </c>
      <c r="G120" s="748">
        <f>INDEX('ประเมินพัฒนาการ-ภ2'!$AG$9:$AG$13,3)&amp;""</f>
        <v/>
      </c>
      <c r="H120" s="739">
        <f>INDEX('ประเมินพัฒนาการ-ภ2'!$AH$9:$AH$13,3)&amp;""</f>
        <v/>
      </c>
    </row>
    <row r="121" ht="16" customHeight="1">
      <c r="A121" s="747" t="inlineStr">
        <is>
          <t>ด้านอารมณ์ จิตใจ</t>
        </is>
      </c>
      <c r="E121" s="748">
        <f>INDEX('ประเมินพัฒนาการ-ภ1'!$AI$9:$AI$13,3)&amp;""</f>
        <v/>
      </c>
      <c r="F121" s="739">
        <f>INDEX('ประเมินพัฒนาการ-ภ1'!$AJ$9:$AJ$13,3)&amp;""</f>
        <v/>
      </c>
      <c r="G121" s="748">
        <f>INDEX('ประเมินพัฒนาการ-ภ2'!$AI$9:$AI$13,3)&amp;""</f>
        <v/>
      </c>
      <c r="H121" s="739">
        <f>INDEX('ประเมินพัฒนาการ-ภ2'!$AJ$9:$AJ$13,3)&amp;""</f>
        <v/>
      </c>
    </row>
    <row r="122" ht="16" customHeight="1">
      <c r="A122" s="747" t="inlineStr">
        <is>
          <t>ด้านสังคม</t>
        </is>
      </c>
      <c r="E122" s="748">
        <f>INDEX('ประเมินพัฒนาการ-ภ1'!$AK$9:$AK$13,3)&amp;""</f>
        <v/>
      </c>
      <c r="F122" s="739">
        <f>INDEX('ประเมินพัฒนาการ-ภ1'!$AL$9:$AL$13,3)&amp;""</f>
        <v/>
      </c>
      <c r="G122" s="748">
        <f>INDEX('ประเมินพัฒนาการ-ภ2'!$AK$9:$AK$13,3)&amp;""</f>
        <v/>
      </c>
      <c r="H122" s="739">
        <f>INDEX('ประเมินพัฒนาการ-ภ2'!$AL$9:$AL$13,3)&amp;""</f>
        <v/>
      </c>
    </row>
    <row r="123" ht="16" customHeight="1">
      <c r="A123" s="747" t="inlineStr">
        <is>
          <t>ด้านสติปัญญา</t>
        </is>
      </c>
      <c r="E123" s="748">
        <f>INDEX('ประเมินพัฒนาการ-ภ1'!$AM$9:$AM$13,3)&amp;""</f>
        <v/>
      </c>
      <c r="F123" s="739">
        <f>INDEX('ประเมินพัฒนาการ-ภ1'!$AN$9:$AN$13,3)&amp;""</f>
        <v/>
      </c>
      <c r="G123" s="748">
        <f>INDEX('ประเมินพัฒนาการ-ภ2'!$AM$9:$AM$13,3)&amp;""</f>
        <v/>
      </c>
      <c r="H123" s="739">
        <f>INDEX('ประเมินพัฒนาการ-ภ2'!$AN$9:$AN$13,3)&amp;""</f>
        <v/>
      </c>
    </row>
    <row r="124" ht="16" customHeight="1">
      <c r="A124" s="747" t="inlineStr">
        <is>
          <t>ภาพรวม</t>
        </is>
      </c>
      <c r="E124" s="748">
        <f>INDEX('ประเมินพัฒนาการ-ภ1'!$AO$9:$AO$13,3)&amp;""</f>
        <v/>
      </c>
      <c r="F124" s="739">
        <f>INDEX('ประเมินพัฒนาการ-ภ1'!$AP$9:$AP$13,3)&amp;""</f>
        <v/>
      </c>
      <c r="G124" s="748">
        <f>INDEX('ประเมินพัฒนาการ-ภ2'!$AO$9:$AO$13,3)&amp;""</f>
        <v/>
      </c>
      <c r="H124" s="739">
        <f>INDEX('ประเมินพัฒนาการ-ภ2'!$AP$9:$AP$13,3)&amp;""</f>
        <v/>
      </c>
    </row>
    <row r="125" ht="16" customHeight="1"/>
    <row r="126" ht="18" customHeight="1">
      <c r="A126" s="749" t="inlineStr">
        <is>
          <t xml:space="preserve">  4. สุขนิสัยและกิจวัตรประจำวัน (ร้อยละของวันที่บันทึก)</t>
        </is>
      </c>
      <c r="B126" s="750" t="n"/>
      <c r="C126" s="750" t="n"/>
      <c r="D126" s="750" t="n"/>
      <c r="E126" s="750" t="n"/>
      <c r="F126" s="750" t="n"/>
      <c r="G126" s="750" t="n"/>
      <c r="H126" s="750" t="n"/>
    </row>
    <row r="127" ht="16" customHeight="1">
      <c r="A127" s="751" t="inlineStr">
        <is>
          <t>รายการ</t>
        </is>
      </c>
      <c r="E127" s="751" t="inlineStr">
        <is>
          <t>ภาคเรียนที่ 1</t>
        </is>
      </c>
      <c r="G127" s="751" t="inlineStr">
        <is>
          <t>ภาคเรียนที่ 2</t>
        </is>
      </c>
    </row>
    <row r="128" ht="16" customHeight="1">
      <c r="A128" s="752" t="inlineStr">
        <is>
          <t>ดื่มนม</t>
        </is>
      </c>
      <c r="E128" s="145">
        <f>IF(INDEX('ข้อมูลนักเรียน'!$T$9:$T$13,3)="","",INDEX('ดื่มนม-ภ1'!$C$9:$C$13,3))</f>
        <v/>
      </c>
      <c r="G128" s="145">
        <f>IF(INDEX('ข้อมูลนักเรียน'!$T$9:$T$13,3)="","",INDEX('ดื่มนม-ภ2'!$C$9:$C$13,3))</f>
        <v/>
      </c>
    </row>
    <row r="129" ht="16" customHeight="1">
      <c r="A129" s="752" t="inlineStr">
        <is>
          <t>แปรงฟันหลังอาหารกลางวัน</t>
        </is>
      </c>
      <c r="E129" s="145">
        <f>IF(INDEX('ข้อมูลนักเรียน'!$T$9:$T$13,3)="","",INDEX('แปรงฟัน-ภ1'!$C$9:$C$13,3))</f>
        <v/>
      </c>
      <c r="G129" s="145">
        <f>IF(INDEX('ข้อมูลนักเรียน'!$T$9:$T$13,3)="","",INDEX('แปรงฟัน-ภ2'!$C$9:$C$13,3))</f>
        <v/>
      </c>
    </row>
    <row r="130" ht="16" customHeight="1">
      <c r="A130" s="752" t="inlineStr">
        <is>
          <t>รับประทานอาหารกลางวันหมด</t>
        </is>
      </c>
      <c r="E130" s="145">
        <f>IF(INDEX('ข้อมูลนักเรียน'!$T$9:$T$13,3)="","",INDEX('อาหารกลางวัน-ภ1'!$C$9:$C$13,3))</f>
        <v/>
      </c>
      <c r="G130" s="145">
        <f>IF(INDEX('ข้อมูลนักเรียน'!$T$9:$T$13,3)="","",INDEX('อาหารกลางวัน-ภ2'!$C$9:$C$13,3))</f>
        <v/>
      </c>
    </row>
    <row r="131" ht="16" customHeight="1">
      <c r="A131" s="752" t="inlineStr">
        <is>
          <t>ออกกำลังกาย</t>
        </is>
      </c>
      <c r="E131" s="145">
        <f>IF(INDEX('ข้อมูลนักเรียน'!$T$9:$T$13,3)="","",INDEX('ออกกำลังกาย-ภ1'!$C$9:$C$13,3))</f>
        <v/>
      </c>
      <c r="G131" s="145">
        <f>IF(INDEX('ข้อมูลนักเรียน'!$T$9:$T$13,3)="","",INDEX('ออกกำลังกาย-ภ2'!$C$9:$C$13,3))</f>
        <v/>
      </c>
    </row>
    <row r="132" ht="16" customHeight="1">
      <c r="A132" s="752" t="inlineStr">
        <is>
          <t>ร่วมกิจกรรมหน้าเสาธง</t>
        </is>
      </c>
      <c r="E132" s="145">
        <f>IF(INDEX('ข้อมูลนักเรียน'!$T$9:$T$13,3)="","",INDEX('เสาธง-ภ1'!$C$9:$C$13,3))</f>
        <v/>
      </c>
      <c r="G132" s="145">
        <f>IF(INDEX('ข้อมูลนักเรียน'!$T$9:$T$13,3)="","",INDEX('เสาธง-ภ2'!$C$9:$C$13,3))</f>
        <v/>
      </c>
    </row>
    <row r="133" ht="16" customHeight="1">
      <c r="A133" s="753" t="inlineStr">
        <is>
          <t>เงินออมคงเหลือ ณ วันที่พิมพ์ (บาท)</t>
        </is>
      </c>
      <c r="E133" s="754">
        <f>IF(INDEX('ข้อมูลนักเรียน'!$T$9:$T$13,3)="","",INDEX('สรุปออมเงิน'!$Q$9:$Q$13,3))</f>
        <v/>
      </c>
    </row>
    <row r="134" ht="16" customHeight="1"/>
    <row r="135" ht="18" customHeight="1">
      <c r="A135" s="755" t="inlineStr">
        <is>
          <t xml:space="preserve">  5. ความคิดเห็นของครู</t>
        </is>
      </c>
      <c r="B135" s="756" t="n"/>
      <c r="C135" s="756" t="n"/>
      <c r="D135" s="756" t="n"/>
      <c r="E135" s="756" t="n"/>
      <c r="F135" s="756" t="n"/>
      <c r="G135" s="756" t="n"/>
      <c r="H135" s="756" t="n"/>
    </row>
    <row r="136" ht="34" customHeight="1">
      <c r="A136" s="757" t="inlineStr">
        <is>
          <t>ภาคเรียนที่ 1</t>
        </is>
      </c>
      <c r="B136" s="758">
        <f>INDEX('ประเมินพัฒนาการ-ภ1'!$AQ$9:$AQ$13,3)&amp;""</f>
        <v/>
      </c>
    </row>
    <row r="137" ht="34" customHeight="1">
      <c r="A137" s="757" t="inlineStr">
        <is>
          <t>ภาคเรียนที่ 2</t>
        </is>
      </c>
      <c r="B137" s="758">
        <f>INDEX('ประเมินพัฒนาการ-ภ2'!$AQ$9:$AQ$13,3)&amp;""</f>
        <v/>
      </c>
    </row>
    <row r="138" ht="16" customHeight="1"/>
    <row r="139" ht="16" customHeight="1"/>
    <row r="140" ht="16" customHeight="1">
      <c r="A140" s="759" t="inlineStr">
        <is>
          <t>ลงชื่อ ..........................................</t>
        </is>
      </c>
      <c r="D140" s="759" t="inlineStr">
        <is>
          <t>ลงชื่อ ..........................................</t>
        </is>
      </c>
      <c r="G140" s="759" t="inlineStr">
        <is>
          <t>ลงชื่อ ..........................................</t>
        </is>
      </c>
    </row>
    <row r="141" ht="16" customHeight="1">
      <c r="A141" s="759">
        <f>"( "&amp;IF('ข้อมูลโรงเรียน'!$C$9="","..........................................",'ข้อมูลโรงเรียน'!$C$9)&amp;" )"</f>
        <v/>
      </c>
      <c r="D141" s="759">
        <f>"( "&amp;IF('ข้อมูลโรงเรียน'!$C$11="","..........................................",'ข้อมูลโรงเรียน'!$C$11)&amp;" )"</f>
        <v/>
      </c>
      <c r="G141" s="759" t="inlineStr">
        <is>
          <t>( .......................................... )</t>
        </is>
      </c>
    </row>
    <row r="142" ht="16" customHeight="1">
      <c r="A142" s="760" t="inlineStr">
        <is>
          <t>ครูประจำชั้น</t>
        </is>
      </c>
      <c r="D142" s="760" t="inlineStr">
        <is>
          <t>ผู้บริหารสถานศึกษา</t>
        </is>
      </c>
      <c r="G142" s="760" t="inlineStr">
        <is>
          <t>ผู้ปกครอง</t>
        </is>
      </c>
    </row>
    <row r="143" ht="16" customHeight="1"/>
    <row r="144" ht="16" customHeight="1"/>
    <row r="145" ht="26" customHeight="1">
      <c r="A145" s="723" t="inlineStr">
        <is>
          <t>สมุดรายงานประจำตัวนักเรียน</t>
        </is>
      </c>
    </row>
    <row r="146" ht="16" customHeight="1">
      <c r="A146" s="725">
        <f>"โรงเรียน"&amp;'ข้อมูลโรงเรียน'!$C$5&amp;IF('ข้อมูลโรงเรียน'!$C$6="",""," • "&amp;'ข้อมูลโรงเรียน'!$C$6)</f>
        <v/>
      </c>
    </row>
    <row r="147" ht="16" customHeight="1">
      <c r="A147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</row>
    <row r="148" ht="16" customHeight="1"/>
    <row r="149" ht="18" customHeight="1">
      <c r="A149" s="730" t="inlineStr">
        <is>
          <t xml:space="preserve">  ข้อมูลนักเรียน</t>
        </is>
      </c>
      <c r="B149" s="731" t="n"/>
      <c r="C149" s="731" t="n"/>
      <c r="D149" s="731" t="n"/>
      <c r="E149" s="731" t="n"/>
      <c r="F149" s="731" t="n"/>
      <c r="G149" s="731" t="n"/>
      <c r="H149" s="731" t="n"/>
    </row>
    <row r="150" ht="16" customHeight="1">
      <c r="A150" s="732" t="inlineStr">
        <is>
          <t>ชื่อ - สกุล</t>
        </is>
      </c>
      <c r="B150" s="733">
        <f>INDEX('ข้อมูลนักเรียน'!$T$9:$T$13,4)&amp;""</f>
        <v/>
      </c>
      <c r="E150" s="732" t="inlineStr">
        <is>
          <t>ชื่อเล่น</t>
        </is>
      </c>
      <c r="F150" s="157">
        <f>INDEX('ข้อมูลนักเรียน'!$G$9:$G$13,4)&amp;""</f>
        <v/>
      </c>
      <c r="G150" s="732" t="inlineStr">
        <is>
          <t>เลขที่</t>
        </is>
      </c>
      <c r="H150" s="157">
        <f>4</f>
        <v/>
      </c>
    </row>
    <row r="151" ht="16" customHeight="1">
      <c r="A151" s="732" t="inlineStr">
        <is>
          <t>เลขประจำตัว</t>
        </is>
      </c>
      <c r="B151" s="157">
        <f>INDEX('ข้อมูลนักเรียน'!$B$9:$B$13,4)&amp;""</f>
        <v/>
      </c>
      <c r="C151" s="732" t="inlineStr">
        <is>
          <t>วันเกิด</t>
        </is>
      </c>
      <c r="D151" s="157">
        <f>IF(INDEX('ข้อมูลนักเรียน'!$S$9:$S$13,4)="","",DAY(INDEX('ข้อมูลนักเรียน'!$S$9:$S$13,4))&amp;" "&amp;CHOOSE(MONTH(INDEX('ข้อมูลนักเรียน'!$S$9:$S$13,4)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"&amp;(YEAR(INDEX('ข้อมูลนักเรียน'!$S$9:$S$13,4))+543))</f>
        <v/>
      </c>
      <c r="F151" s="732" t="inlineStr">
        <is>
          <t>อายุ</t>
        </is>
      </c>
      <c r="G151" s="157">
        <f>INDEX('ข้อมูลนักเรียน'!$K$9:$K$13,4)&amp;""</f>
        <v/>
      </c>
    </row>
    <row r="152" ht="16" customHeight="1">
      <c r="A152" s="732" t="inlineStr">
        <is>
          <t>กรุ๊ปเลือด</t>
        </is>
      </c>
      <c r="B152" s="157">
        <f>INDEX('ข้อมูลนักเรียน'!$L$9:$L$13,4)&amp;""</f>
        <v/>
      </c>
      <c r="C152" s="732" t="inlineStr">
        <is>
          <t>โรคประจำตัว/แพ้</t>
        </is>
      </c>
      <c r="D152" s="242">
        <f>INDEX('ข้อมูลนักเรียน'!$M$9:$M$13,4)&amp;""</f>
        <v/>
      </c>
    </row>
    <row r="153" ht="16" customHeight="1">
      <c r="A153" s="732" t="inlineStr">
        <is>
          <t>ผู้ปกครอง</t>
        </is>
      </c>
      <c r="B153" s="242">
        <f>INDEX('ข้อมูลนักเรียน'!$N$9:$N$13,4)&amp;IF(INDEX('ข้อมูลนักเรียน'!$O$9:$O$13,4)="",""," ("&amp;INDEX('ข้อมูลนักเรียน'!$O$9:$O$13,4)&amp;")")</f>
        <v/>
      </c>
      <c r="E153" s="732" t="inlineStr">
        <is>
          <t>โทรศัพท์</t>
        </is>
      </c>
      <c r="F153" s="157">
        <f>INDEX('ข้อมูลนักเรียน'!$P$9:$P$13,4)&amp;""</f>
        <v/>
      </c>
    </row>
    <row r="154" ht="16" customHeight="1"/>
    <row r="155" ht="18" customHeight="1">
      <c r="A155" s="734" t="inlineStr">
        <is>
          <t xml:space="preserve">  1. การมาเรียน</t>
        </is>
      </c>
      <c r="B155" s="129" t="n"/>
      <c r="C155" s="129" t="n"/>
      <c r="D155" s="129" t="n"/>
      <c r="E155" s="129" t="n"/>
      <c r="F155" s="129" t="n"/>
      <c r="G155" s="129" t="n"/>
      <c r="H155" s="129" t="n"/>
    </row>
    <row r="156" ht="16" customHeight="1">
      <c r="A156" s="260" t="inlineStr">
        <is>
          <t>ภาคเรียน</t>
        </is>
      </c>
      <c r="B156" s="260" t="inlineStr">
        <is>
          <t>วันเปิดเรียน</t>
        </is>
      </c>
      <c r="C156" s="260" t="inlineStr">
        <is>
          <t>มา</t>
        </is>
      </c>
      <c r="D156" s="260" t="inlineStr">
        <is>
          <t>สาย</t>
        </is>
      </c>
      <c r="E156" s="260" t="inlineStr">
        <is>
          <t>ลา</t>
        </is>
      </c>
      <c r="F156" s="260" t="inlineStr">
        <is>
          <t>ป่วย</t>
        </is>
      </c>
      <c r="G156" s="260" t="inlineStr">
        <is>
          <t>ขาด</t>
        </is>
      </c>
      <c r="H156" s="260" t="inlineStr">
        <is>
          <t>ร้อยละมาเรียน</t>
        </is>
      </c>
    </row>
    <row r="157" ht="16" customHeight="1">
      <c r="A157" s="736" t="inlineStr">
        <is>
          <t>ภาคเรียนที่ 1</t>
        </is>
      </c>
      <c r="B157" s="157">
        <f>COUNTIF('ปฏิทิน'!$D$2:$GY$2,1)</f>
        <v/>
      </c>
      <c r="C157" s="157">
        <f>IF(INDEX('ข้อมูลนักเรียน'!$T$9:$T$13,4)="","",COUNTIF(INDEX('มาเรียน-ภ1'!$D$9:$GY$13,4,0),"ม"))</f>
        <v/>
      </c>
      <c r="D157" s="157">
        <f>IF(INDEX('ข้อมูลนักเรียน'!$T$9:$T$13,4)="","",COUNTIF(INDEX('มาเรียน-ภ1'!$D$9:$GY$13,4,0),"ส"))</f>
        <v/>
      </c>
      <c r="E157" s="157">
        <f>IF(INDEX('ข้อมูลนักเรียน'!$T$9:$T$13,4)="","",COUNTIF(INDEX('มาเรียน-ภ1'!$D$9:$GY$13,4,0),"ล"))</f>
        <v/>
      </c>
      <c r="F157" s="157">
        <f>IF(INDEX('ข้อมูลนักเรียน'!$T$9:$T$13,4)="","",COUNTIF(INDEX('มาเรียน-ภ1'!$D$9:$GY$13,4,0),"ป"))</f>
        <v/>
      </c>
      <c r="G157" s="157">
        <f>IF(INDEX('ข้อมูลนักเรียน'!$T$9:$T$13,4)="","",COUNTIF(INDEX('มาเรียน-ภ1'!$D$9:$GY$13,4,0),"ข"))</f>
        <v/>
      </c>
      <c r="H157" s="737">
        <f>IF(INDEX('ข้อมูลนักเรียน'!$T$9:$T$13,4)="","",IFERROR((C157+D157)/SUM(C157:G157),"-"))</f>
        <v/>
      </c>
    </row>
    <row r="158" ht="16" customHeight="1">
      <c r="A158" s="736" t="inlineStr">
        <is>
          <t>ภาคเรียนที่ 2</t>
        </is>
      </c>
      <c r="B158" s="157">
        <f>COUNTIF('ปฏิทิน'!$D$6:$FQ$6,1)</f>
        <v/>
      </c>
      <c r="C158" s="157">
        <f>IF(INDEX('ข้อมูลนักเรียน'!$T$9:$T$13,4)="","",COUNTIF(INDEX('มาเรียน-ภ2'!$D$9:$FQ$13,4,0),"ม"))</f>
        <v/>
      </c>
      <c r="D158" s="157">
        <f>IF(INDEX('ข้อมูลนักเรียน'!$T$9:$T$13,4)="","",COUNTIF(INDEX('มาเรียน-ภ2'!$D$9:$FQ$13,4,0),"ส"))</f>
        <v/>
      </c>
      <c r="E158" s="157">
        <f>IF(INDEX('ข้อมูลนักเรียน'!$T$9:$T$13,4)="","",COUNTIF(INDEX('มาเรียน-ภ2'!$D$9:$FQ$13,4,0),"ล"))</f>
        <v/>
      </c>
      <c r="F158" s="157">
        <f>IF(INDEX('ข้อมูลนักเรียน'!$T$9:$T$13,4)="","",COUNTIF(INDEX('มาเรียน-ภ2'!$D$9:$FQ$13,4,0),"ป"))</f>
        <v/>
      </c>
      <c r="G158" s="157">
        <f>IF(INDEX('ข้อมูลนักเรียน'!$T$9:$T$13,4)="","",COUNTIF(INDEX('มาเรียน-ภ2'!$D$9:$FQ$13,4,0),"ข"))</f>
        <v/>
      </c>
      <c r="H158" s="737">
        <f>IF(INDEX('ข้อมูลนักเรียน'!$T$9:$T$13,4)="","",IFERROR((C158+D158)/SUM(C158:G158),"-"))</f>
        <v/>
      </c>
    </row>
    <row r="159" ht="16" customHeight="1">
      <c r="A159" s="738" t="inlineStr">
        <is>
          <t>รวมทั้งปี</t>
        </is>
      </c>
      <c r="B159" s="739">
        <f>B157+B158</f>
        <v/>
      </c>
      <c r="C159" s="739">
        <f>IF(INDEX('ข้อมูลนักเรียน'!$T$9:$T$13,4)="","",N(C157)+N(C158))</f>
        <v/>
      </c>
      <c r="D159" s="739">
        <f>IF(INDEX('ข้อมูลนักเรียน'!$T$9:$T$13,4)="","",N(D157)+N(D158))</f>
        <v/>
      </c>
      <c r="E159" s="739">
        <f>IF(INDEX('ข้อมูลนักเรียน'!$T$9:$T$13,4)="","",N(E157)+N(E158))</f>
        <v/>
      </c>
      <c r="F159" s="739">
        <f>IF(INDEX('ข้อมูลนักเรียน'!$T$9:$T$13,4)="","",N(F157)+N(F158))</f>
        <v/>
      </c>
      <c r="G159" s="739">
        <f>IF(INDEX('ข้อมูลนักเรียน'!$T$9:$T$13,4)="","",N(G157)+N(G158))</f>
        <v/>
      </c>
      <c r="H159" s="737">
        <f>IF(INDEX('ข้อมูลนักเรียน'!$T$9:$T$13,4)="","",IFERROR((C159+D159)/SUM(C159:G159),"-"))</f>
        <v/>
      </c>
    </row>
    <row r="160" ht="16" customHeight="1"/>
    <row r="161" ht="18" customHeight="1">
      <c r="A161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161" s="741" t="n"/>
      <c r="C161" s="741" t="n"/>
      <c r="D161" s="741" t="n"/>
      <c r="E161" s="741" t="n"/>
      <c r="F161" s="741" t="n"/>
      <c r="G161" s="741" t="n"/>
      <c r="H161" s="741" t="n"/>
    </row>
    <row r="162" ht="16" customHeight="1">
      <c r="A162" s="742" t="inlineStr">
        <is>
          <t>ภาคเรียน</t>
        </is>
      </c>
      <c r="B162" s="742" t="inlineStr">
        <is>
          <t>เดือนที่วัด</t>
        </is>
      </c>
      <c r="C162" s="742" t="inlineStr">
        <is>
          <t>น้ำหนัก (กก.)</t>
        </is>
      </c>
      <c r="D162" s="742" t="inlineStr">
        <is>
          <t>ส่วนสูง (ซม.)</t>
        </is>
      </c>
      <c r="E162" s="742" t="inlineStr">
        <is>
          <t>น้ำหนักตามเกณฑ์ส่วนสูง</t>
        </is>
      </c>
      <c r="G162" s="742" t="inlineStr">
        <is>
          <t>ส่วนสูงตามเกณฑ์อายุ</t>
        </is>
      </c>
    </row>
    <row r="163" ht="16" customHeight="1">
      <c r="A163" s="732" t="inlineStr">
        <is>
          <t>ภาคเรียนที่ 1</t>
        </is>
      </c>
      <c r="B163" s="157">
        <f>INDEX('น้ำหนักส่วนสูง'!$CS$9:$CS$13,4)&amp;""</f>
        <v/>
      </c>
      <c r="C163" s="743">
        <f>IF(N(INDEX('น้ำหนักส่วนสูง'!$CO$9:$CO$13,4))=0,"",INDEX('น้ำหนักส่วนสูง'!$CO$9:$CO$13,4))</f>
        <v/>
      </c>
      <c r="D163" s="743">
        <f>IF(N(INDEX('น้ำหนักส่วนสูง'!$CP$9:$CP$13,4))=0,"",INDEX('น้ำหนักส่วนสูง'!$CP$9:$CP$13,4))</f>
        <v/>
      </c>
      <c r="E163" s="739">
        <f>INDEX('น้ำหนักส่วนสูง'!$CQ$9:$CQ$13,4)&amp;""</f>
        <v/>
      </c>
      <c r="G163" s="739">
        <f>INDEX('น้ำหนักส่วนสูง'!$CR$9:$CR$13,4)&amp;""</f>
        <v/>
      </c>
    </row>
    <row r="164" ht="16" customHeight="1">
      <c r="A164" s="732" t="inlineStr">
        <is>
          <t>ภาคเรียนที่ 2</t>
        </is>
      </c>
      <c r="B164" s="157">
        <f>INDEX('น้ำหนักส่วนสูง'!$CX$9:$CX$13,4)&amp;""</f>
        <v/>
      </c>
      <c r="C164" s="743">
        <f>IF(N(INDEX('น้ำหนักส่วนสูง'!$CT$9:$CT$13,4))=0,"",INDEX('น้ำหนักส่วนสูง'!$CT$9:$CT$13,4))</f>
        <v/>
      </c>
      <c r="D164" s="743">
        <f>IF(N(INDEX('น้ำหนักส่วนสูง'!$CU$9:$CU$13,4))=0,"",INDEX('น้ำหนักส่วนสูง'!$CU$9:$CU$13,4))</f>
        <v/>
      </c>
      <c r="E164" s="739">
        <f>INDEX('น้ำหนักส่วนสูง'!$CV$9:$CV$13,4)&amp;""</f>
        <v/>
      </c>
      <c r="G164" s="739">
        <f>INDEX('น้ำหนักส่วนสูง'!$CW$9:$CW$13,4)&amp;""</f>
        <v/>
      </c>
    </row>
    <row r="165" ht="16" customHeight="1"/>
    <row r="166" ht="18" customHeight="1">
      <c r="A166" s="744" t="inlineStr">
        <is>
          <t xml:space="preserve">  3. ผลการประเมินพัฒนาการ (หลักสูตรการศึกษาปฐมวัย พ.ศ. 2560)</t>
        </is>
      </c>
      <c r="B166" s="745" t="n"/>
      <c r="C166" s="745" t="n"/>
      <c r="D166" s="745" t="n"/>
      <c r="E166" s="745" t="n"/>
      <c r="F166" s="745" t="n"/>
      <c r="G166" s="745" t="n"/>
      <c r="H166" s="745" t="n"/>
    </row>
    <row r="167" ht="16" customHeight="1">
      <c r="A167" s="746" t="inlineStr">
        <is>
          <t>พัฒนาการ</t>
        </is>
      </c>
      <c r="E167" s="746" t="inlineStr">
        <is>
          <t>ภาค 1 คะแนน</t>
        </is>
      </c>
      <c r="F167" s="746" t="inlineStr">
        <is>
          <t>ภาค 1 ผล</t>
        </is>
      </c>
      <c r="G167" s="746" t="inlineStr">
        <is>
          <t>ภาค 2 คะแนน</t>
        </is>
      </c>
      <c r="H167" s="746" t="inlineStr">
        <is>
          <t>ภาค 2 ผล</t>
        </is>
      </c>
    </row>
    <row r="168" ht="16" customHeight="1">
      <c r="A168" s="747" t="inlineStr">
        <is>
          <t>ด้านร่างกาย</t>
        </is>
      </c>
      <c r="E168" s="748">
        <f>INDEX('ประเมินพัฒนาการ-ภ1'!$AG$9:$AG$13,4)&amp;""</f>
        <v/>
      </c>
      <c r="F168" s="739">
        <f>INDEX('ประเมินพัฒนาการ-ภ1'!$AH$9:$AH$13,4)&amp;""</f>
        <v/>
      </c>
      <c r="G168" s="748">
        <f>INDEX('ประเมินพัฒนาการ-ภ2'!$AG$9:$AG$13,4)&amp;""</f>
        <v/>
      </c>
      <c r="H168" s="739">
        <f>INDEX('ประเมินพัฒนาการ-ภ2'!$AH$9:$AH$13,4)&amp;""</f>
        <v/>
      </c>
    </row>
    <row r="169" ht="16" customHeight="1">
      <c r="A169" s="747" t="inlineStr">
        <is>
          <t>ด้านอารมณ์ จิตใจ</t>
        </is>
      </c>
      <c r="E169" s="748">
        <f>INDEX('ประเมินพัฒนาการ-ภ1'!$AI$9:$AI$13,4)&amp;""</f>
        <v/>
      </c>
      <c r="F169" s="739">
        <f>INDEX('ประเมินพัฒนาการ-ภ1'!$AJ$9:$AJ$13,4)&amp;""</f>
        <v/>
      </c>
      <c r="G169" s="748">
        <f>INDEX('ประเมินพัฒนาการ-ภ2'!$AI$9:$AI$13,4)&amp;""</f>
        <v/>
      </c>
      <c r="H169" s="739">
        <f>INDEX('ประเมินพัฒนาการ-ภ2'!$AJ$9:$AJ$13,4)&amp;""</f>
        <v/>
      </c>
    </row>
    <row r="170" ht="16" customHeight="1">
      <c r="A170" s="747" t="inlineStr">
        <is>
          <t>ด้านสังคม</t>
        </is>
      </c>
      <c r="E170" s="748">
        <f>INDEX('ประเมินพัฒนาการ-ภ1'!$AK$9:$AK$13,4)&amp;""</f>
        <v/>
      </c>
      <c r="F170" s="739">
        <f>INDEX('ประเมินพัฒนาการ-ภ1'!$AL$9:$AL$13,4)&amp;""</f>
        <v/>
      </c>
      <c r="G170" s="748">
        <f>INDEX('ประเมินพัฒนาการ-ภ2'!$AK$9:$AK$13,4)&amp;""</f>
        <v/>
      </c>
      <c r="H170" s="739">
        <f>INDEX('ประเมินพัฒนาการ-ภ2'!$AL$9:$AL$13,4)&amp;""</f>
        <v/>
      </c>
    </row>
    <row r="171" ht="16" customHeight="1">
      <c r="A171" s="747" t="inlineStr">
        <is>
          <t>ด้านสติปัญญา</t>
        </is>
      </c>
      <c r="E171" s="748">
        <f>INDEX('ประเมินพัฒนาการ-ภ1'!$AM$9:$AM$13,4)&amp;""</f>
        <v/>
      </c>
      <c r="F171" s="739">
        <f>INDEX('ประเมินพัฒนาการ-ภ1'!$AN$9:$AN$13,4)&amp;""</f>
        <v/>
      </c>
      <c r="G171" s="748">
        <f>INDEX('ประเมินพัฒนาการ-ภ2'!$AM$9:$AM$13,4)&amp;""</f>
        <v/>
      </c>
      <c r="H171" s="739">
        <f>INDEX('ประเมินพัฒนาการ-ภ2'!$AN$9:$AN$13,4)&amp;""</f>
        <v/>
      </c>
    </row>
    <row r="172" ht="16" customHeight="1">
      <c r="A172" s="747" t="inlineStr">
        <is>
          <t>ภาพรวม</t>
        </is>
      </c>
      <c r="E172" s="748">
        <f>INDEX('ประเมินพัฒนาการ-ภ1'!$AO$9:$AO$13,4)&amp;""</f>
        <v/>
      </c>
      <c r="F172" s="739">
        <f>INDEX('ประเมินพัฒนาการ-ภ1'!$AP$9:$AP$13,4)&amp;""</f>
        <v/>
      </c>
      <c r="G172" s="748">
        <f>INDEX('ประเมินพัฒนาการ-ภ2'!$AO$9:$AO$13,4)&amp;""</f>
        <v/>
      </c>
      <c r="H172" s="739">
        <f>INDEX('ประเมินพัฒนาการ-ภ2'!$AP$9:$AP$13,4)&amp;""</f>
        <v/>
      </c>
    </row>
    <row r="173" ht="16" customHeight="1"/>
    <row r="174" ht="18" customHeight="1">
      <c r="A174" s="749" t="inlineStr">
        <is>
          <t xml:space="preserve">  4. สุขนิสัยและกิจวัตรประจำวัน (ร้อยละของวันที่บันทึก)</t>
        </is>
      </c>
      <c r="B174" s="750" t="n"/>
      <c r="C174" s="750" t="n"/>
      <c r="D174" s="750" t="n"/>
      <c r="E174" s="750" t="n"/>
      <c r="F174" s="750" t="n"/>
      <c r="G174" s="750" t="n"/>
      <c r="H174" s="750" t="n"/>
    </row>
    <row r="175" ht="16" customHeight="1">
      <c r="A175" s="751" t="inlineStr">
        <is>
          <t>รายการ</t>
        </is>
      </c>
      <c r="E175" s="751" t="inlineStr">
        <is>
          <t>ภาคเรียนที่ 1</t>
        </is>
      </c>
      <c r="G175" s="751" t="inlineStr">
        <is>
          <t>ภาคเรียนที่ 2</t>
        </is>
      </c>
    </row>
    <row r="176" ht="16" customHeight="1">
      <c r="A176" s="752" t="inlineStr">
        <is>
          <t>ดื่มนม</t>
        </is>
      </c>
      <c r="E176" s="145">
        <f>IF(INDEX('ข้อมูลนักเรียน'!$T$9:$T$13,4)="","",INDEX('ดื่มนม-ภ1'!$C$9:$C$13,4))</f>
        <v/>
      </c>
      <c r="G176" s="145">
        <f>IF(INDEX('ข้อมูลนักเรียน'!$T$9:$T$13,4)="","",INDEX('ดื่มนม-ภ2'!$C$9:$C$13,4))</f>
        <v/>
      </c>
    </row>
    <row r="177" ht="16" customHeight="1">
      <c r="A177" s="752" t="inlineStr">
        <is>
          <t>แปรงฟันหลังอาหารกลางวัน</t>
        </is>
      </c>
      <c r="E177" s="145">
        <f>IF(INDEX('ข้อมูลนักเรียน'!$T$9:$T$13,4)="","",INDEX('แปรงฟัน-ภ1'!$C$9:$C$13,4))</f>
        <v/>
      </c>
      <c r="G177" s="145">
        <f>IF(INDEX('ข้อมูลนักเรียน'!$T$9:$T$13,4)="","",INDEX('แปรงฟัน-ภ2'!$C$9:$C$13,4))</f>
        <v/>
      </c>
    </row>
    <row r="178" ht="16" customHeight="1">
      <c r="A178" s="752" t="inlineStr">
        <is>
          <t>รับประทานอาหารกลางวันหมด</t>
        </is>
      </c>
      <c r="E178" s="145">
        <f>IF(INDEX('ข้อมูลนักเรียน'!$T$9:$T$13,4)="","",INDEX('อาหารกลางวัน-ภ1'!$C$9:$C$13,4))</f>
        <v/>
      </c>
      <c r="G178" s="145">
        <f>IF(INDEX('ข้อมูลนักเรียน'!$T$9:$T$13,4)="","",INDEX('อาหารกลางวัน-ภ2'!$C$9:$C$13,4))</f>
        <v/>
      </c>
    </row>
    <row r="179" ht="16" customHeight="1">
      <c r="A179" s="752" t="inlineStr">
        <is>
          <t>ออกกำลังกาย</t>
        </is>
      </c>
      <c r="E179" s="145">
        <f>IF(INDEX('ข้อมูลนักเรียน'!$T$9:$T$13,4)="","",INDEX('ออกกำลังกาย-ภ1'!$C$9:$C$13,4))</f>
        <v/>
      </c>
      <c r="G179" s="145">
        <f>IF(INDEX('ข้อมูลนักเรียน'!$T$9:$T$13,4)="","",INDEX('ออกกำลังกาย-ภ2'!$C$9:$C$13,4))</f>
        <v/>
      </c>
    </row>
    <row r="180" ht="16" customHeight="1">
      <c r="A180" s="752" t="inlineStr">
        <is>
          <t>ร่วมกิจกรรมหน้าเสาธง</t>
        </is>
      </c>
      <c r="E180" s="145">
        <f>IF(INDEX('ข้อมูลนักเรียน'!$T$9:$T$13,4)="","",INDEX('เสาธง-ภ1'!$C$9:$C$13,4))</f>
        <v/>
      </c>
      <c r="G180" s="145">
        <f>IF(INDEX('ข้อมูลนักเรียน'!$T$9:$T$13,4)="","",INDEX('เสาธง-ภ2'!$C$9:$C$13,4))</f>
        <v/>
      </c>
    </row>
    <row r="181" ht="16" customHeight="1">
      <c r="A181" s="753" t="inlineStr">
        <is>
          <t>เงินออมคงเหลือ ณ วันที่พิมพ์ (บาท)</t>
        </is>
      </c>
      <c r="E181" s="754">
        <f>IF(INDEX('ข้อมูลนักเรียน'!$T$9:$T$13,4)="","",INDEX('สรุปออมเงิน'!$Q$9:$Q$13,4))</f>
        <v/>
      </c>
    </row>
    <row r="182" ht="16" customHeight="1"/>
    <row r="183" ht="18" customHeight="1">
      <c r="A183" s="755" t="inlineStr">
        <is>
          <t xml:space="preserve">  5. ความคิดเห็นของครู</t>
        </is>
      </c>
      <c r="B183" s="756" t="n"/>
      <c r="C183" s="756" t="n"/>
      <c r="D183" s="756" t="n"/>
      <c r="E183" s="756" t="n"/>
      <c r="F183" s="756" t="n"/>
      <c r="G183" s="756" t="n"/>
      <c r="H183" s="756" t="n"/>
    </row>
    <row r="184" ht="34" customHeight="1">
      <c r="A184" s="757" t="inlineStr">
        <is>
          <t>ภาคเรียนที่ 1</t>
        </is>
      </c>
      <c r="B184" s="758">
        <f>INDEX('ประเมินพัฒนาการ-ภ1'!$AQ$9:$AQ$13,4)&amp;""</f>
        <v/>
      </c>
    </row>
    <row r="185" ht="34" customHeight="1">
      <c r="A185" s="757" t="inlineStr">
        <is>
          <t>ภาคเรียนที่ 2</t>
        </is>
      </c>
      <c r="B185" s="758">
        <f>INDEX('ประเมินพัฒนาการ-ภ2'!$AQ$9:$AQ$13,4)&amp;""</f>
        <v/>
      </c>
    </row>
    <row r="186" ht="16" customHeight="1"/>
    <row r="187" ht="16" customHeight="1"/>
    <row r="188" ht="16" customHeight="1">
      <c r="A188" s="759" t="inlineStr">
        <is>
          <t>ลงชื่อ ..........................................</t>
        </is>
      </c>
      <c r="D188" s="759" t="inlineStr">
        <is>
          <t>ลงชื่อ ..........................................</t>
        </is>
      </c>
      <c r="G188" s="759" t="inlineStr">
        <is>
          <t>ลงชื่อ ..........................................</t>
        </is>
      </c>
    </row>
    <row r="189" ht="16" customHeight="1">
      <c r="A189" s="759">
        <f>"( "&amp;IF('ข้อมูลโรงเรียน'!$C$9="","..........................................",'ข้อมูลโรงเรียน'!$C$9)&amp;" )"</f>
        <v/>
      </c>
      <c r="D189" s="759">
        <f>"( "&amp;IF('ข้อมูลโรงเรียน'!$C$11="","..........................................",'ข้อมูลโรงเรียน'!$C$11)&amp;" )"</f>
        <v/>
      </c>
      <c r="G189" s="759" t="inlineStr">
        <is>
          <t>( .......................................... )</t>
        </is>
      </c>
    </row>
    <row r="190" ht="16" customHeight="1">
      <c r="A190" s="760" t="inlineStr">
        <is>
          <t>ครูประจำชั้น</t>
        </is>
      </c>
      <c r="D190" s="760" t="inlineStr">
        <is>
          <t>ผู้บริหารสถานศึกษา</t>
        </is>
      </c>
      <c r="G190" s="760" t="inlineStr">
        <is>
          <t>ผู้ปกครอง</t>
        </is>
      </c>
    </row>
    <row r="191" ht="16" customHeight="1"/>
    <row r="192" ht="16" customHeight="1"/>
    <row r="193" ht="26" customHeight="1">
      <c r="A193" s="723" t="inlineStr">
        <is>
          <t>สมุดรายงานประจำตัวนักเรียน</t>
        </is>
      </c>
    </row>
    <row r="194" ht="16" customHeight="1">
      <c r="A194" s="725">
        <f>"โรงเรียน"&amp;'ข้อมูลโรงเรียน'!$C$5&amp;IF('ข้อมูลโรงเรียน'!$C$6="",""," • "&amp;'ข้อมูลโรงเรียน'!$C$6)</f>
        <v/>
      </c>
    </row>
    <row r="195" ht="16" customHeight="1">
      <c r="A195" s="726">
        <f>"ชั้น"&amp;'ข้อมูลโรงเรียน'!$C$7&amp;"/"&amp;'ข้อมูลโรงเรียน'!$C$8&amp;"   ปีการศึกษา "&amp;'ข้อมูลโรงเรียน'!$C$12</f>
        <v/>
      </c>
    </row>
    <row r="196" ht="16" customHeight="1"/>
    <row r="197" ht="18" customHeight="1">
      <c r="A197" s="730" t="inlineStr">
        <is>
          <t xml:space="preserve">  ข้อมูลนักเรียน</t>
        </is>
      </c>
      <c r="B197" s="731" t="n"/>
      <c r="C197" s="731" t="n"/>
      <c r="D197" s="731" t="n"/>
      <c r="E197" s="731" t="n"/>
      <c r="F197" s="731" t="n"/>
      <c r="G197" s="731" t="n"/>
      <c r="H197" s="731" t="n"/>
    </row>
    <row r="198" ht="16" customHeight="1">
      <c r="A198" s="732" t="inlineStr">
        <is>
          <t>ชื่อ - สกุล</t>
        </is>
      </c>
      <c r="B198" s="733">
        <f>INDEX('ข้อมูลนักเรียน'!$T$9:$T$13,5)&amp;""</f>
        <v/>
      </c>
      <c r="E198" s="732" t="inlineStr">
        <is>
          <t>ชื่อเล่น</t>
        </is>
      </c>
      <c r="F198" s="157">
        <f>INDEX('ข้อมูลนักเรียน'!$G$9:$G$13,5)&amp;""</f>
        <v/>
      </c>
      <c r="G198" s="732" t="inlineStr">
        <is>
          <t>เลขที่</t>
        </is>
      </c>
      <c r="H198" s="157">
        <f>5</f>
        <v/>
      </c>
    </row>
    <row r="199" ht="16" customHeight="1">
      <c r="A199" s="732" t="inlineStr">
        <is>
          <t>เลขประจำตัว</t>
        </is>
      </c>
      <c r="B199" s="157">
        <f>INDEX('ข้อมูลนักเรียน'!$B$9:$B$13,5)&amp;""</f>
        <v/>
      </c>
      <c r="C199" s="732" t="inlineStr">
        <is>
          <t>วันเกิด</t>
        </is>
      </c>
      <c r="D199" s="157">
        <f>IF(INDEX('ข้อมูลนักเรียน'!$S$9:$S$13,5)="","",DAY(INDEX('ข้อมูลนักเรียน'!$S$9:$S$13,5))&amp;" "&amp;CHOOSE(MONTH(INDEX('ข้อมูลนักเรียน'!$S$9:$S$13,5)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"&amp;(YEAR(INDEX('ข้อมูลนักเรียน'!$S$9:$S$13,5))+543))</f>
        <v/>
      </c>
      <c r="F199" s="732" t="inlineStr">
        <is>
          <t>อายุ</t>
        </is>
      </c>
      <c r="G199" s="157">
        <f>INDEX('ข้อมูลนักเรียน'!$K$9:$K$13,5)&amp;""</f>
        <v/>
      </c>
    </row>
    <row r="200" ht="16" customHeight="1">
      <c r="A200" s="732" t="inlineStr">
        <is>
          <t>กรุ๊ปเลือด</t>
        </is>
      </c>
      <c r="B200" s="157">
        <f>INDEX('ข้อมูลนักเรียน'!$L$9:$L$13,5)&amp;""</f>
        <v/>
      </c>
      <c r="C200" s="732" t="inlineStr">
        <is>
          <t>โรคประจำตัว/แพ้</t>
        </is>
      </c>
      <c r="D200" s="242">
        <f>INDEX('ข้อมูลนักเรียน'!$M$9:$M$13,5)&amp;""</f>
        <v/>
      </c>
    </row>
    <row r="201" ht="16" customHeight="1">
      <c r="A201" s="732" t="inlineStr">
        <is>
          <t>ผู้ปกครอง</t>
        </is>
      </c>
      <c r="B201" s="242">
        <f>INDEX('ข้อมูลนักเรียน'!$N$9:$N$13,5)&amp;IF(INDEX('ข้อมูลนักเรียน'!$O$9:$O$13,5)="",""," ("&amp;INDEX('ข้อมูลนักเรียน'!$O$9:$O$13,5)&amp;")")</f>
        <v/>
      </c>
      <c r="E201" s="732" t="inlineStr">
        <is>
          <t>โทรศัพท์</t>
        </is>
      </c>
      <c r="F201" s="157">
        <f>INDEX('ข้อมูลนักเรียน'!$P$9:$P$13,5)&amp;""</f>
        <v/>
      </c>
    </row>
    <row r="202" ht="16" customHeight="1"/>
    <row r="203" ht="18" customHeight="1">
      <c r="A203" s="734" t="inlineStr">
        <is>
          <t xml:space="preserve">  1. การมาเรียน</t>
        </is>
      </c>
      <c r="B203" s="129" t="n"/>
      <c r="C203" s="129" t="n"/>
      <c r="D203" s="129" t="n"/>
      <c r="E203" s="129" t="n"/>
      <c r="F203" s="129" t="n"/>
      <c r="G203" s="129" t="n"/>
      <c r="H203" s="129" t="n"/>
    </row>
    <row r="204" ht="16" customHeight="1">
      <c r="A204" s="260" t="inlineStr">
        <is>
          <t>ภาคเรียน</t>
        </is>
      </c>
      <c r="B204" s="260" t="inlineStr">
        <is>
          <t>วันเปิดเรียน</t>
        </is>
      </c>
      <c r="C204" s="260" t="inlineStr">
        <is>
          <t>มา</t>
        </is>
      </c>
      <c r="D204" s="260" t="inlineStr">
        <is>
          <t>สาย</t>
        </is>
      </c>
      <c r="E204" s="260" t="inlineStr">
        <is>
          <t>ลา</t>
        </is>
      </c>
      <c r="F204" s="260" t="inlineStr">
        <is>
          <t>ป่วย</t>
        </is>
      </c>
      <c r="G204" s="260" t="inlineStr">
        <is>
          <t>ขาด</t>
        </is>
      </c>
      <c r="H204" s="260" t="inlineStr">
        <is>
          <t>ร้อยละมาเรียน</t>
        </is>
      </c>
    </row>
    <row r="205" ht="16" customHeight="1">
      <c r="A205" s="736" t="inlineStr">
        <is>
          <t>ภาคเรียนที่ 1</t>
        </is>
      </c>
      <c r="B205" s="157">
        <f>COUNTIF('ปฏิทิน'!$D$2:$GY$2,1)</f>
        <v/>
      </c>
      <c r="C205" s="157">
        <f>IF(INDEX('ข้อมูลนักเรียน'!$T$9:$T$13,5)="","",COUNTIF(INDEX('มาเรียน-ภ1'!$D$9:$GY$13,5,0),"ม"))</f>
        <v/>
      </c>
      <c r="D205" s="157">
        <f>IF(INDEX('ข้อมูลนักเรียน'!$T$9:$T$13,5)="","",COUNTIF(INDEX('มาเรียน-ภ1'!$D$9:$GY$13,5,0),"ส"))</f>
        <v/>
      </c>
      <c r="E205" s="157">
        <f>IF(INDEX('ข้อมูลนักเรียน'!$T$9:$T$13,5)="","",COUNTIF(INDEX('มาเรียน-ภ1'!$D$9:$GY$13,5,0),"ล"))</f>
        <v/>
      </c>
      <c r="F205" s="157">
        <f>IF(INDEX('ข้อมูลนักเรียน'!$T$9:$T$13,5)="","",COUNTIF(INDEX('มาเรียน-ภ1'!$D$9:$GY$13,5,0),"ป"))</f>
        <v/>
      </c>
      <c r="G205" s="157">
        <f>IF(INDEX('ข้อมูลนักเรียน'!$T$9:$T$13,5)="","",COUNTIF(INDEX('มาเรียน-ภ1'!$D$9:$GY$13,5,0),"ข"))</f>
        <v/>
      </c>
      <c r="H205" s="737">
        <f>IF(INDEX('ข้อมูลนักเรียน'!$T$9:$T$13,5)="","",IFERROR((C205+D205)/SUM(C205:G205),"-"))</f>
        <v/>
      </c>
    </row>
    <row r="206" ht="16" customHeight="1">
      <c r="A206" s="736" t="inlineStr">
        <is>
          <t>ภาคเรียนที่ 2</t>
        </is>
      </c>
      <c r="B206" s="157">
        <f>COUNTIF('ปฏิทิน'!$D$6:$FQ$6,1)</f>
        <v/>
      </c>
      <c r="C206" s="157">
        <f>IF(INDEX('ข้อมูลนักเรียน'!$T$9:$T$13,5)="","",COUNTIF(INDEX('มาเรียน-ภ2'!$D$9:$FQ$13,5,0),"ม"))</f>
        <v/>
      </c>
      <c r="D206" s="157">
        <f>IF(INDEX('ข้อมูลนักเรียน'!$T$9:$T$13,5)="","",COUNTIF(INDEX('มาเรียน-ภ2'!$D$9:$FQ$13,5,0),"ส"))</f>
        <v/>
      </c>
      <c r="E206" s="157">
        <f>IF(INDEX('ข้อมูลนักเรียน'!$T$9:$T$13,5)="","",COUNTIF(INDEX('มาเรียน-ภ2'!$D$9:$FQ$13,5,0),"ล"))</f>
        <v/>
      </c>
      <c r="F206" s="157">
        <f>IF(INDEX('ข้อมูลนักเรียน'!$T$9:$T$13,5)="","",COUNTIF(INDEX('มาเรียน-ภ2'!$D$9:$FQ$13,5,0),"ป"))</f>
        <v/>
      </c>
      <c r="G206" s="157">
        <f>IF(INDEX('ข้อมูลนักเรียน'!$T$9:$T$13,5)="","",COUNTIF(INDEX('มาเรียน-ภ2'!$D$9:$FQ$13,5,0),"ข"))</f>
        <v/>
      </c>
      <c r="H206" s="737">
        <f>IF(INDEX('ข้อมูลนักเรียน'!$T$9:$T$13,5)="","",IFERROR((C206+D206)/SUM(C206:G206),"-"))</f>
        <v/>
      </c>
    </row>
    <row r="207" ht="16" customHeight="1">
      <c r="A207" s="738" t="inlineStr">
        <is>
          <t>รวมทั้งปี</t>
        </is>
      </c>
      <c r="B207" s="739">
        <f>B205+B206</f>
        <v/>
      </c>
      <c r="C207" s="739">
        <f>IF(INDEX('ข้อมูลนักเรียน'!$T$9:$T$13,5)="","",N(C205)+N(C206))</f>
        <v/>
      </c>
      <c r="D207" s="739">
        <f>IF(INDEX('ข้อมูลนักเรียน'!$T$9:$T$13,5)="","",N(D205)+N(D206))</f>
        <v/>
      </c>
      <c r="E207" s="739">
        <f>IF(INDEX('ข้อมูลนักเรียน'!$T$9:$T$13,5)="","",N(E205)+N(E206))</f>
        <v/>
      </c>
      <c r="F207" s="739">
        <f>IF(INDEX('ข้อมูลนักเรียน'!$T$9:$T$13,5)="","",N(F205)+N(F206))</f>
        <v/>
      </c>
      <c r="G207" s="739">
        <f>IF(INDEX('ข้อมูลนักเรียน'!$T$9:$T$13,5)="","",N(G205)+N(G206))</f>
        <v/>
      </c>
      <c r="H207" s="737">
        <f>IF(INDEX('ข้อมูลนักเรียน'!$T$9:$T$13,5)="","",IFERROR((C207+D207)/SUM(C207:G207),"-"))</f>
        <v/>
      </c>
    </row>
    <row r="208" ht="16" customHeight="1"/>
    <row r="209" ht="18" customHeight="1">
      <c r="A209" s="740" t="inlineStr">
        <is>
          <t xml:space="preserve">  2. การเจริญเติบโต (การชั่งน้ำหนัก-วัดส่วนสูงครั้งล่าสุดของภาคเรียน)</t>
        </is>
      </c>
      <c r="B209" s="741" t="n"/>
      <c r="C209" s="741" t="n"/>
      <c r="D209" s="741" t="n"/>
      <c r="E209" s="741" t="n"/>
      <c r="F209" s="741" t="n"/>
      <c r="G209" s="741" t="n"/>
      <c r="H209" s="741" t="n"/>
    </row>
    <row r="210" ht="16" customHeight="1">
      <c r="A210" s="742" t="inlineStr">
        <is>
          <t>ภาคเรียน</t>
        </is>
      </c>
      <c r="B210" s="742" t="inlineStr">
        <is>
          <t>เดือนที่วัด</t>
        </is>
      </c>
      <c r="C210" s="742" t="inlineStr">
        <is>
          <t>น้ำหนัก (กก.)</t>
        </is>
      </c>
      <c r="D210" s="742" t="inlineStr">
        <is>
          <t>ส่วนสูง (ซม.)</t>
        </is>
      </c>
      <c r="E210" s="742" t="inlineStr">
        <is>
          <t>น้ำหนักตามเกณฑ์ส่วนสูง</t>
        </is>
      </c>
      <c r="G210" s="742" t="inlineStr">
        <is>
          <t>ส่วนสูงตามเกณฑ์อายุ</t>
        </is>
      </c>
    </row>
    <row r="211" ht="16" customHeight="1">
      <c r="A211" s="732" t="inlineStr">
        <is>
          <t>ภาคเรียนที่ 1</t>
        </is>
      </c>
      <c r="B211" s="157">
        <f>INDEX('น้ำหนักส่วนสูง'!$CS$9:$CS$13,5)&amp;""</f>
        <v/>
      </c>
      <c r="C211" s="743">
        <f>IF(N(INDEX('น้ำหนักส่วนสูง'!$CO$9:$CO$13,5))=0,"",INDEX('น้ำหนักส่วนสูง'!$CO$9:$CO$13,5))</f>
        <v/>
      </c>
      <c r="D211" s="743">
        <f>IF(N(INDEX('น้ำหนักส่วนสูง'!$CP$9:$CP$13,5))=0,"",INDEX('น้ำหนักส่วนสูง'!$CP$9:$CP$13,5))</f>
        <v/>
      </c>
      <c r="E211" s="739">
        <f>INDEX('น้ำหนักส่วนสูง'!$CQ$9:$CQ$13,5)&amp;""</f>
        <v/>
      </c>
      <c r="G211" s="739">
        <f>INDEX('น้ำหนักส่วนสูง'!$CR$9:$CR$13,5)&amp;""</f>
        <v/>
      </c>
    </row>
    <row r="212" ht="16" customHeight="1">
      <c r="A212" s="732" t="inlineStr">
        <is>
          <t>ภาคเรียนที่ 2</t>
        </is>
      </c>
      <c r="B212" s="157">
        <f>INDEX('น้ำหนักส่วนสูง'!$CX$9:$CX$13,5)&amp;""</f>
        <v/>
      </c>
      <c r="C212" s="743">
        <f>IF(N(INDEX('น้ำหนักส่วนสูง'!$CT$9:$CT$13,5))=0,"",INDEX('น้ำหนักส่วนสูง'!$CT$9:$CT$13,5))</f>
        <v/>
      </c>
      <c r="D212" s="743">
        <f>IF(N(INDEX('น้ำหนักส่วนสูง'!$CU$9:$CU$13,5))=0,"",INDEX('น้ำหนักส่วนสูง'!$CU$9:$CU$13,5))</f>
        <v/>
      </c>
      <c r="E212" s="739">
        <f>INDEX('น้ำหนักส่วนสูง'!$CV$9:$CV$13,5)&amp;""</f>
        <v/>
      </c>
      <c r="G212" s="739">
        <f>INDEX('น้ำหนักส่วนสูง'!$CW$9:$CW$13,5)&amp;""</f>
        <v/>
      </c>
    </row>
    <row r="213" ht="16" customHeight="1"/>
    <row r="214" ht="18" customHeight="1">
      <c r="A214" s="744" t="inlineStr">
        <is>
          <t xml:space="preserve">  3. ผลการประเมินพัฒนาการ (หลักสูตรการศึกษาปฐมวัย พ.ศ. 2560)</t>
        </is>
      </c>
      <c r="B214" s="745" t="n"/>
      <c r="C214" s="745" t="n"/>
      <c r="D214" s="745" t="n"/>
      <c r="E214" s="745" t="n"/>
      <c r="F214" s="745" t="n"/>
      <c r="G214" s="745" t="n"/>
      <c r="H214" s="745" t="n"/>
    </row>
    <row r="215" ht="16" customHeight="1">
      <c r="A215" s="746" t="inlineStr">
        <is>
          <t>พัฒนาการ</t>
        </is>
      </c>
      <c r="E215" s="746" t="inlineStr">
        <is>
          <t>ภาค 1 คะแนน</t>
        </is>
      </c>
      <c r="F215" s="746" t="inlineStr">
        <is>
          <t>ภาค 1 ผล</t>
        </is>
      </c>
      <c r="G215" s="746" t="inlineStr">
        <is>
          <t>ภาค 2 คะแนน</t>
        </is>
      </c>
      <c r="H215" s="746" t="inlineStr">
        <is>
          <t>ภาค 2 ผล</t>
        </is>
      </c>
    </row>
    <row r="216" ht="16" customHeight="1">
      <c r="A216" s="747" t="inlineStr">
        <is>
          <t>ด้านร่างกาย</t>
        </is>
      </c>
      <c r="E216" s="748">
        <f>INDEX('ประเมินพัฒนาการ-ภ1'!$AG$9:$AG$13,5)&amp;""</f>
        <v/>
      </c>
      <c r="F216" s="739">
        <f>INDEX('ประเมินพัฒนาการ-ภ1'!$AH$9:$AH$13,5)&amp;""</f>
        <v/>
      </c>
      <c r="G216" s="748">
        <f>INDEX('ประเมินพัฒนาการ-ภ2'!$AG$9:$AG$13,5)&amp;""</f>
        <v/>
      </c>
      <c r="H216" s="739">
        <f>INDEX('ประเมินพัฒนาการ-ภ2'!$AH$9:$AH$13,5)&amp;""</f>
        <v/>
      </c>
    </row>
    <row r="217" ht="16" customHeight="1">
      <c r="A217" s="747" t="inlineStr">
        <is>
          <t>ด้านอารมณ์ จิตใจ</t>
        </is>
      </c>
      <c r="E217" s="748">
        <f>INDEX('ประเมินพัฒนาการ-ภ1'!$AI$9:$AI$13,5)&amp;""</f>
        <v/>
      </c>
      <c r="F217" s="739">
        <f>INDEX('ประเมินพัฒนาการ-ภ1'!$AJ$9:$AJ$13,5)&amp;""</f>
        <v/>
      </c>
      <c r="G217" s="748">
        <f>INDEX('ประเมินพัฒนาการ-ภ2'!$AI$9:$AI$13,5)&amp;""</f>
        <v/>
      </c>
      <c r="H217" s="739">
        <f>INDEX('ประเมินพัฒนาการ-ภ2'!$AJ$9:$AJ$13,5)&amp;""</f>
        <v/>
      </c>
    </row>
    <row r="218" ht="16" customHeight="1">
      <c r="A218" s="747" t="inlineStr">
        <is>
          <t>ด้านสังคม</t>
        </is>
      </c>
      <c r="E218" s="748">
        <f>INDEX('ประเมินพัฒนาการ-ภ1'!$AK$9:$AK$13,5)&amp;""</f>
        <v/>
      </c>
      <c r="F218" s="739">
        <f>INDEX('ประเมินพัฒนาการ-ภ1'!$AL$9:$AL$13,5)&amp;""</f>
        <v/>
      </c>
      <c r="G218" s="748">
        <f>INDEX('ประเมินพัฒนาการ-ภ2'!$AK$9:$AK$13,5)&amp;""</f>
        <v/>
      </c>
      <c r="H218" s="739">
        <f>INDEX('ประเมินพัฒนาการ-ภ2'!$AL$9:$AL$13,5)&amp;""</f>
        <v/>
      </c>
    </row>
    <row r="219" ht="16" customHeight="1">
      <c r="A219" s="747" t="inlineStr">
        <is>
          <t>ด้านสติปัญญา</t>
        </is>
      </c>
      <c r="E219" s="748">
        <f>INDEX('ประเมินพัฒนาการ-ภ1'!$AM$9:$AM$13,5)&amp;""</f>
        <v/>
      </c>
      <c r="F219" s="739">
        <f>INDEX('ประเมินพัฒนาการ-ภ1'!$AN$9:$AN$13,5)&amp;""</f>
        <v/>
      </c>
      <c r="G219" s="748">
        <f>INDEX('ประเมินพัฒนาการ-ภ2'!$AM$9:$AM$13,5)&amp;""</f>
        <v/>
      </c>
      <c r="H219" s="739">
        <f>INDEX('ประเมินพัฒนาการ-ภ2'!$AN$9:$AN$13,5)&amp;""</f>
        <v/>
      </c>
    </row>
    <row r="220" ht="16" customHeight="1">
      <c r="A220" s="747" t="inlineStr">
        <is>
          <t>ภาพรวม</t>
        </is>
      </c>
      <c r="E220" s="748">
        <f>INDEX('ประเมินพัฒนาการ-ภ1'!$AO$9:$AO$13,5)&amp;""</f>
        <v/>
      </c>
      <c r="F220" s="739">
        <f>INDEX('ประเมินพัฒนาการ-ภ1'!$AP$9:$AP$13,5)&amp;""</f>
        <v/>
      </c>
      <c r="G220" s="748">
        <f>INDEX('ประเมินพัฒนาการ-ภ2'!$AO$9:$AO$13,5)&amp;""</f>
        <v/>
      </c>
      <c r="H220" s="739">
        <f>INDEX('ประเมินพัฒนาการ-ภ2'!$AP$9:$AP$13,5)&amp;""</f>
        <v/>
      </c>
    </row>
    <row r="221" ht="16" customHeight="1"/>
    <row r="222" ht="18" customHeight="1">
      <c r="A222" s="749" t="inlineStr">
        <is>
          <t xml:space="preserve">  4. สุขนิสัยและกิจวัตรประจำวัน (ร้อยละของวันที่บันทึก)</t>
        </is>
      </c>
      <c r="B222" s="750" t="n"/>
      <c r="C222" s="750" t="n"/>
      <c r="D222" s="750" t="n"/>
      <c r="E222" s="750" t="n"/>
      <c r="F222" s="750" t="n"/>
      <c r="G222" s="750" t="n"/>
      <c r="H222" s="750" t="n"/>
    </row>
    <row r="223" ht="16" customHeight="1">
      <c r="A223" s="751" t="inlineStr">
        <is>
          <t>รายการ</t>
        </is>
      </c>
      <c r="E223" s="751" t="inlineStr">
        <is>
          <t>ภาคเรียนที่ 1</t>
        </is>
      </c>
      <c r="G223" s="751" t="inlineStr">
        <is>
          <t>ภาคเรียนที่ 2</t>
        </is>
      </c>
    </row>
    <row r="224" ht="16" customHeight="1">
      <c r="A224" s="752" t="inlineStr">
        <is>
          <t>ดื่มนม</t>
        </is>
      </c>
      <c r="E224" s="145">
        <f>IF(INDEX('ข้อมูลนักเรียน'!$T$9:$T$13,5)="","",INDEX('ดื่มนม-ภ1'!$C$9:$C$13,5))</f>
        <v/>
      </c>
      <c r="G224" s="145">
        <f>IF(INDEX('ข้อมูลนักเรียน'!$T$9:$T$13,5)="","",INDEX('ดื่มนม-ภ2'!$C$9:$C$13,5))</f>
        <v/>
      </c>
    </row>
    <row r="225" ht="16" customHeight="1">
      <c r="A225" s="752" t="inlineStr">
        <is>
          <t>แปรงฟันหลังอาหารกลางวัน</t>
        </is>
      </c>
      <c r="E225" s="145">
        <f>IF(INDEX('ข้อมูลนักเรียน'!$T$9:$T$13,5)="","",INDEX('แปรงฟัน-ภ1'!$C$9:$C$13,5))</f>
        <v/>
      </c>
      <c r="G225" s="145">
        <f>IF(INDEX('ข้อมูลนักเรียน'!$T$9:$T$13,5)="","",INDEX('แปรงฟัน-ภ2'!$C$9:$C$13,5))</f>
        <v/>
      </c>
    </row>
    <row r="226" ht="16" customHeight="1">
      <c r="A226" s="752" t="inlineStr">
        <is>
          <t>รับประทานอาหารกลางวันหมด</t>
        </is>
      </c>
      <c r="E226" s="145">
        <f>IF(INDEX('ข้อมูลนักเรียน'!$T$9:$T$13,5)="","",INDEX('อาหารกลางวัน-ภ1'!$C$9:$C$13,5))</f>
        <v/>
      </c>
      <c r="G226" s="145">
        <f>IF(INDEX('ข้อมูลนักเรียน'!$T$9:$T$13,5)="","",INDEX('อาหารกลางวัน-ภ2'!$C$9:$C$13,5))</f>
        <v/>
      </c>
    </row>
    <row r="227" ht="16" customHeight="1">
      <c r="A227" s="752" t="inlineStr">
        <is>
          <t>ออกกำลังกาย</t>
        </is>
      </c>
      <c r="E227" s="145">
        <f>IF(INDEX('ข้อมูลนักเรียน'!$T$9:$T$13,5)="","",INDEX('ออกกำลังกาย-ภ1'!$C$9:$C$13,5))</f>
        <v/>
      </c>
      <c r="G227" s="145">
        <f>IF(INDEX('ข้อมูลนักเรียน'!$T$9:$T$13,5)="","",INDEX('ออกกำลังกาย-ภ2'!$C$9:$C$13,5))</f>
        <v/>
      </c>
    </row>
    <row r="228" ht="16" customHeight="1">
      <c r="A228" s="752" t="inlineStr">
        <is>
          <t>ร่วมกิจกรรมหน้าเสาธง</t>
        </is>
      </c>
      <c r="E228" s="145">
        <f>IF(INDEX('ข้อมูลนักเรียน'!$T$9:$T$13,5)="","",INDEX('เสาธง-ภ1'!$C$9:$C$13,5))</f>
        <v/>
      </c>
      <c r="G228" s="145">
        <f>IF(INDEX('ข้อมูลนักเรียน'!$T$9:$T$13,5)="","",INDEX('เสาธง-ภ2'!$C$9:$C$13,5))</f>
        <v/>
      </c>
    </row>
    <row r="229" ht="16" customHeight="1">
      <c r="A229" s="753" t="inlineStr">
        <is>
          <t>เงินออมคงเหลือ ณ วันที่พิมพ์ (บาท)</t>
        </is>
      </c>
      <c r="E229" s="754">
        <f>IF(INDEX('ข้อมูลนักเรียน'!$T$9:$T$13,5)="","",INDEX('สรุปออมเงิน'!$Q$9:$Q$13,5))</f>
        <v/>
      </c>
    </row>
    <row r="230" ht="16" customHeight="1"/>
    <row r="231" ht="18" customHeight="1">
      <c r="A231" s="755" t="inlineStr">
        <is>
          <t xml:space="preserve">  5. ความคิดเห็นของครู</t>
        </is>
      </c>
      <c r="B231" s="756" t="n"/>
      <c r="C231" s="756" t="n"/>
      <c r="D231" s="756" t="n"/>
      <c r="E231" s="756" t="n"/>
      <c r="F231" s="756" t="n"/>
      <c r="G231" s="756" t="n"/>
      <c r="H231" s="756" t="n"/>
    </row>
    <row r="232" ht="34" customHeight="1">
      <c r="A232" s="757" t="inlineStr">
        <is>
          <t>ภาคเรียนที่ 1</t>
        </is>
      </c>
      <c r="B232" s="758">
        <f>INDEX('ประเมินพัฒนาการ-ภ1'!$AQ$9:$AQ$13,5)&amp;""</f>
        <v/>
      </c>
    </row>
    <row r="233" ht="34" customHeight="1">
      <c r="A233" s="757" t="inlineStr">
        <is>
          <t>ภาคเรียนที่ 2</t>
        </is>
      </c>
      <c r="B233" s="758">
        <f>INDEX('ประเมินพัฒนาการ-ภ2'!$AQ$9:$AQ$13,5)&amp;""</f>
        <v/>
      </c>
    </row>
    <row r="234" ht="16" customHeight="1"/>
    <row r="235" ht="16" customHeight="1"/>
    <row r="236" ht="16" customHeight="1">
      <c r="A236" s="759" t="inlineStr">
        <is>
          <t>ลงชื่อ ..........................................</t>
        </is>
      </c>
      <c r="D236" s="759" t="inlineStr">
        <is>
          <t>ลงชื่อ ..........................................</t>
        </is>
      </c>
      <c r="G236" s="759" t="inlineStr">
        <is>
          <t>ลงชื่อ ..........................................</t>
        </is>
      </c>
    </row>
    <row r="237" ht="16" customHeight="1">
      <c r="A237" s="759">
        <f>"( "&amp;IF('ข้อมูลโรงเรียน'!$C$9="","..........................................",'ข้อมูลโรงเรียน'!$C$9)&amp;" )"</f>
        <v/>
      </c>
      <c r="D237" s="759">
        <f>"( "&amp;IF('ข้อมูลโรงเรียน'!$C$11="","..........................................",'ข้อมูลโรงเรียน'!$C$11)&amp;" )"</f>
        <v/>
      </c>
      <c r="G237" s="759" t="inlineStr">
        <is>
          <t>( .......................................... )</t>
        </is>
      </c>
    </row>
    <row r="238" ht="16" customHeight="1">
      <c r="A238" s="760" t="inlineStr">
        <is>
          <t>ครูประจำชั้น</t>
        </is>
      </c>
      <c r="D238" s="760" t="inlineStr">
        <is>
          <t>ผู้บริหารสถานศึกษา</t>
        </is>
      </c>
      <c r="G238" s="760" t="inlineStr">
        <is>
          <t>ผู้ปกครอง</t>
        </is>
      </c>
    </row>
    <row r="239" ht="16" customHeight="1"/>
    <row r="240" ht="16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90">
    <mergeCell ref="G81:H81"/>
    <mergeCell ref="F201:H201"/>
    <mergeCell ref="B40:H40"/>
    <mergeCell ref="A122:D122"/>
    <mergeCell ref="E210:F210"/>
    <mergeCell ref="A215:D215"/>
    <mergeCell ref="B57:D57"/>
    <mergeCell ref="A224:D224"/>
    <mergeCell ref="E129:F129"/>
    <mergeCell ref="A72:D72"/>
    <mergeCell ref="A222:H222"/>
    <mergeCell ref="A49:H49"/>
    <mergeCell ref="A81:D81"/>
    <mergeCell ref="G176:H176"/>
    <mergeCell ref="A121:D121"/>
    <mergeCell ref="G228:H228"/>
    <mergeCell ref="D45:E45"/>
    <mergeCell ref="E37:H37"/>
    <mergeCell ref="E79:F79"/>
    <mergeCell ref="G237:H237"/>
    <mergeCell ref="E131:F131"/>
    <mergeCell ref="A31:D31"/>
    <mergeCell ref="A176:D176"/>
    <mergeCell ref="B41:H41"/>
    <mergeCell ref="A174:H174"/>
    <mergeCell ref="D151:E151"/>
    <mergeCell ref="E128:F128"/>
    <mergeCell ref="A183:H183"/>
    <mergeCell ref="G128:H128"/>
    <mergeCell ref="G66:H66"/>
    <mergeCell ref="A24:D24"/>
    <mergeCell ref="F9:H9"/>
    <mergeCell ref="A73:D73"/>
    <mergeCell ref="A118:H118"/>
    <mergeCell ref="G18:H18"/>
    <mergeCell ref="D141:E141"/>
    <mergeCell ref="B6:D6"/>
    <mergeCell ref="A178:D178"/>
    <mergeCell ref="G189:H189"/>
    <mergeCell ref="A226:D226"/>
    <mergeCell ref="A236:B236"/>
    <mergeCell ref="E34:F34"/>
    <mergeCell ref="A50:H50"/>
    <mergeCell ref="B184:H184"/>
    <mergeCell ref="A3:H3"/>
    <mergeCell ref="G34:H34"/>
    <mergeCell ref="E181:H181"/>
    <mergeCell ref="D7:E7"/>
    <mergeCell ref="B198:D198"/>
    <mergeCell ref="G68:H68"/>
    <mergeCell ref="A228:D228"/>
    <mergeCell ref="D238:E238"/>
    <mergeCell ref="A124:D124"/>
    <mergeCell ref="G114:H114"/>
    <mergeCell ref="E36:F36"/>
    <mergeCell ref="A172:D172"/>
    <mergeCell ref="A5:H5"/>
    <mergeCell ref="E163:F163"/>
    <mergeCell ref="A188:B188"/>
    <mergeCell ref="E116:F116"/>
    <mergeCell ref="G163:H163"/>
    <mergeCell ref="A140:B140"/>
    <mergeCell ref="B54:D54"/>
    <mergeCell ref="A97:H97"/>
    <mergeCell ref="G20:H20"/>
    <mergeCell ref="A27:D27"/>
    <mergeCell ref="D152:H152"/>
    <mergeCell ref="E229:H229"/>
    <mergeCell ref="A190:B190"/>
    <mergeCell ref="G94:H94"/>
    <mergeCell ref="A223:D223"/>
    <mergeCell ref="A161:H161"/>
    <mergeCell ref="E115:F115"/>
    <mergeCell ref="G44:H44"/>
    <mergeCell ref="A33:D33"/>
    <mergeCell ref="G84:H84"/>
    <mergeCell ref="B105:D105"/>
    <mergeCell ref="A85:D85"/>
    <mergeCell ref="A35:D35"/>
    <mergeCell ref="A142:B142"/>
    <mergeCell ref="E175:F175"/>
    <mergeCell ref="A51:H51"/>
    <mergeCell ref="A107:H107"/>
    <mergeCell ref="A45:B45"/>
    <mergeCell ref="E67:F67"/>
    <mergeCell ref="E85:H85"/>
    <mergeCell ref="G67:H67"/>
    <mergeCell ref="G151:H151"/>
    <mergeCell ref="G178:H178"/>
    <mergeCell ref="E127:F127"/>
    <mergeCell ref="A28:D28"/>
    <mergeCell ref="D140:E140"/>
    <mergeCell ref="B89:H89"/>
    <mergeCell ref="A197:H197"/>
    <mergeCell ref="A146:H146"/>
    <mergeCell ref="G7:H7"/>
    <mergeCell ref="A127:D127"/>
    <mergeCell ref="A167:D167"/>
    <mergeCell ref="D189:E189"/>
    <mergeCell ref="B233:H233"/>
    <mergeCell ref="A99:H99"/>
    <mergeCell ref="A46:B46"/>
    <mergeCell ref="B9:D9"/>
    <mergeCell ref="B201:D201"/>
    <mergeCell ref="G175:H175"/>
    <mergeCell ref="B185:H185"/>
    <mergeCell ref="E211:F211"/>
    <mergeCell ref="A216:D216"/>
    <mergeCell ref="G127:H127"/>
    <mergeCell ref="G162:H162"/>
    <mergeCell ref="A169:D169"/>
    <mergeCell ref="A149:H149"/>
    <mergeCell ref="A214:H214"/>
    <mergeCell ref="A225:D225"/>
    <mergeCell ref="A101:H101"/>
    <mergeCell ref="A79:D79"/>
    <mergeCell ref="G177:H177"/>
    <mergeCell ref="A2:H2"/>
    <mergeCell ref="G33:H33"/>
    <mergeCell ref="D103:E103"/>
    <mergeCell ref="A218:D218"/>
    <mergeCell ref="A227:D227"/>
    <mergeCell ref="A128:D128"/>
    <mergeCell ref="A126:H126"/>
    <mergeCell ref="A177:D177"/>
    <mergeCell ref="A22:H22"/>
    <mergeCell ref="A135:H135"/>
    <mergeCell ref="G35:H35"/>
    <mergeCell ref="A217:D217"/>
    <mergeCell ref="G129:H129"/>
    <mergeCell ref="B150:D150"/>
    <mergeCell ref="A74:D74"/>
    <mergeCell ref="B88:H88"/>
    <mergeCell ref="B102:D102"/>
    <mergeCell ref="D142:E142"/>
    <mergeCell ref="A26:D26"/>
    <mergeCell ref="A93:B93"/>
    <mergeCell ref="A179:D179"/>
    <mergeCell ref="E66:F66"/>
    <mergeCell ref="A71:D71"/>
    <mergeCell ref="A129:D129"/>
    <mergeCell ref="G131:H131"/>
    <mergeCell ref="E18:F18"/>
    <mergeCell ref="G236:H236"/>
    <mergeCell ref="A76:D76"/>
    <mergeCell ref="G140:H140"/>
    <mergeCell ref="E223:F223"/>
    <mergeCell ref="G223:H223"/>
    <mergeCell ref="A181:D181"/>
    <mergeCell ref="A92:B92"/>
    <mergeCell ref="G238:H238"/>
    <mergeCell ref="A30:H30"/>
    <mergeCell ref="E130:F130"/>
    <mergeCell ref="A59:H59"/>
    <mergeCell ref="E68:F68"/>
    <mergeCell ref="G115:H115"/>
    <mergeCell ref="G130:H130"/>
    <mergeCell ref="A131:D131"/>
    <mergeCell ref="A171:D171"/>
    <mergeCell ref="D199:E199"/>
    <mergeCell ref="A98:H98"/>
    <mergeCell ref="A180:D180"/>
    <mergeCell ref="E83:F83"/>
    <mergeCell ref="A94:B94"/>
    <mergeCell ref="F153:H153"/>
    <mergeCell ref="E132:F132"/>
    <mergeCell ref="G179:H179"/>
    <mergeCell ref="G132:H132"/>
    <mergeCell ref="A70:H70"/>
    <mergeCell ref="E224:F224"/>
    <mergeCell ref="A229:D229"/>
    <mergeCell ref="E20:F20"/>
    <mergeCell ref="G224:H224"/>
    <mergeCell ref="A34:D34"/>
    <mergeCell ref="A83:D83"/>
    <mergeCell ref="G116:H116"/>
    <mergeCell ref="D104:H104"/>
    <mergeCell ref="G141:H141"/>
    <mergeCell ref="G199:H199"/>
    <mergeCell ref="G103:H103"/>
    <mergeCell ref="F105:H105"/>
    <mergeCell ref="E177:F177"/>
    <mergeCell ref="E84:F84"/>
    <mergeCell ref="E31:F31"/>
    <mergeCell ref="A36:D36"/>
    <mergeCell ref="E176:F176"/>
    <mergeCell ref="E114:F114"/>
    <mergeCell ref="A145:H145"/>
    <mergeCell ref="D200:H200"/>
    <mergeCell ref="A168:D168"/>
    <mergeCell ref="G210:H210"/>
    <mergeCell ref="E226:F226"/>
    <mergeCell ref="F57:H57"/>
    <mergeCell ref="E80:F80"/>
    <mergeCell ref="G142:H142"/>
    <mergeCell ref="G80:H80"/>
    <mergeCell ref="E178:F178"/>
    <mergeCell ref="A195:H195"/>
    <mergeCell ref="D93:E93"/>
    <mergeCell ref="A203:H203"/>
    <mergeCell ref="A133:D133"/>
    <mergeCell ref="B136:H136"/>
    <mergeCell ref="G79:H79"/>
    <mergeCell ref="E162:F162"/>
    <mergeCell ref="A17:H17"/>
    <mergeCell ref="E228:F228"/>
    <mergeCell ref="A80:D80"/>
    <mergeCell ref="A37:D37"/>
    <mergeCell ref="D236:E236"/>
    <mergeCell ref="D8:H8"/>
    <mergeCell ref="A53:H53"/>
    <mergeCell ref="D55:E55"/>
    <mergeCell ref="D92:E92"/>
    <mergeCell ref="E32:F32"/>
    <mergeCell ref="A120:D120"/>
    <mergeCell ref="A231:H231"/>
    <mergeCell ref="G32:H32"/>
    <mergeCell ref="E212:F212"/>
    <mergeCell ref="E81:F81"/>
    <mergeCell ref="G212:H212"/>
    <mergeCell ref="E164:F164"/>
    <mergeCell ref="G226:H226"/>
    <mergeCell ref="G164:H164"/>
    <mergeCell ref="D94:E94"/>
    <mergeCell ref="A32:D32"/>
    <mergeCell ref="B137:H137"/>
    <mergeCell ref="A219:D219"/>
    <mergeCell ref="A23:D23"/>
    <mergeCell ref="A39:H39"/>
    <mergeCell ref="A166:H166"/>
    <mergeCell ref="E33:F33"/>
    <mergeCell ref="D237:E237"/>
    <mergeCell ref="D190:E190"/>
    <mergeCell ref="G36:H36"/>
    <mergeCell ref="A11:H11"/>
    <mergeCell ref="D46:E46"/>
    <mergeCell ref="A1:H1"/>
    <mergeCell ref="A170:D170"/>
    <mergeCell ref="A237:B237"/>
    <mergeCell ref="E82:F82"/>
    <mergeCell ref="E35:F35"/>
    <mergeCell ref="G82:H82"/>
    <mergeCell ref="A78:H78"/>
    <mergeCell ref="E180:F180"/>
    <mergeCell ref="A220:D220"/>
    <mergeCell ref="A87:H87"/>
    <mergeCell ref="A65:H65"/>
    <mergeCell ref="E19:F19"/>
    <mergeCell ref="A130:D130"/>
    <mergeCell ref="G19:H19"/>
    <mergeCell ref="G190:H190"/>
    <mergeCell ref="A82:D82"/>
    <mergeCell ref="A193:H193"/>
    <mergeCell ref="G93:H93"/>
    <mergeCell ref="A189:B189"/>
    <mergeCell ref="B232:H232"/>
    <mergeCell ref="A123:D123"/>
    <mergeCell ref="A238:B238"/>
    <mergeCell ref="A132:D132"/>
    <mergeCell ref="G83:H83"/>
    <mergeCell ref="G92:H92"/>
    <mergeCell ref="A119:D119"/>
    <mergeCell ref="A113:H113"/>
    <mergeCell ref="G180:H180"/>
    <mergeCell ref="A25:D25"/>
    <mergeCell ref="G45:H45"/>
    <mergeCell ref="A141:B141"/>
    <mergeCell ref="B153:D153"/>
    <mergeCell ref="E225:F225"/>
    <mergeCell ref="A194:H194"/>
    <mergeCell ref="G225:H225"/>
    <mergeCell ref="D56:H56"/>
    <mergeCell ref="A84:D84"/>
    <mergeCell ref="E179:F179"/>
    <mergeCell ref="G55:H55"/>
    <mergeCell ref="G188:H188"/>
    <mergeCell ref="A75:D75"/>
    <mergeCell ref="A209:H209"/>
    <mergeCell ref="A147:H147"/>
    <mergeCell ref="E227:F227"/>
    <mergeCell ref="D188:E188"/>
    <mergeCell ref="G227:H227"/>
    <mergeCell ref="G31:H31"/>
    <mergeCell ref="A44:B44"/>
    <mergeCell ref="G46:H46"/>
    <mergeCell ref="A155:H155"/>
    <mergeCell ref="G211:H211"/>
    <mergeCell ref="E133:H133"/>
    <mergeCell ref="A175:D175"/>
    <mergeCell ref="D44:E44"/>
  </mergeCells>
  <printOptions horizontalCentered="1"/>
  <pageMargins left="0.4" right="0.4" top="0.35" bottom="0.35" header="0.5" footer="0.5"/>
  <pageSetup orientation="portrait" paperSize="9" scale="86"/>
  <rowBreaks count="4" manualBreakCount="4">
    <brk id="48" min="0" max="16383" man="1"/>
    <brk id="96" min="0" max="16383" man="1"/>
    <brk id="144" min="0" max="16383" man="1"/>
    <brk id="192" min="0" max="16383" man="1"/>
  </rowBreaks>
</worksheet>
</file>

<file path=xl/worksheets/sheet40.xml><?xml version="1.0" encoding="utf-8"?>
<worksheet xmlns="http://schemas.openxmlformats.org/spreadsheetml/2006/main">
  <sheetPr>
    <tabColor rgb="00F99551"/>
    <outlinePr summaryBelow="1" summaryRight="1"/>
    <pageSetUpPr/>
  </sheetPr>
  <dimension ref="A1:AA122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3" customWidth="1" min="9" max="9"/>
    <col width="42" customWidth="1" min="10" max="10"/>
    <col width="40" customWidth="1" min="11" max="11"/>
    <col hidden="1" width="13" customWidth="1" min="26" max="26"/>
    <col hidden="1" width="13" customWidth="1" min="27" max="27"/>
  </cols>
  <sheetData>
    <row r="1" ht="22" customHeight="1">
      <c r="A1" s="764" t="inlineStr">
        <is>
          <t xml:space="preserve">  สมุดสื่อสารผู้ปกครองประจำวัน</t>
        </is>
      </c>
      <c r="F1" s="765">
        <f>IF($Z$5=1,"","(ไม่ใช่วันเรียน)  ")&amp;"วัน"&amp;IFERROR(CHOOSE(WEEKDAY($Z$6,2),"จันทร์","อังคาร","พุธ","พฤหัสบดี","ศุกร์","เสาร์","อาทิตย์"),"")&amp;"ที่ "&amp;$K$3&amp;" "&amp;$K$4&amp;" "&amp;IFERROR(YEAR($Z$6)+543,"")</f>
        <v/>
      </c>
      <c r="J1" s="766" t="inlineStr">
        <is>
          <t>สมุดสื่อสารประจำวัน</t>
        </is>
      </c>
      <c r="Z1">
        <f>IFERROR(MATCH($K$4,{"พฤษภาคม","มิถุนายน","กรกฎาคม","สิงหาคม","กันยายน","ตุลาคม","พฤศจิกายน","ธันวาคม","มกราคม","กุมภาพันธ์","มีนาคม"},0),1)</f>
        <v/>
      </c>
      <c r="AA1">
        <f>"'มาเรียน-ภ"&amp;$Z$2&amp;"'!$A$1:$HA$23"</f>
        <v/>
      </c>
    </row>
    <row r="2">
      <c r="A2" s="767">
        <f>"  โรงเรียน"&amp;'ข้อมูลโรงเรียน'!$C$5&amp;"   ชั้น"&amp;'ข้อมูลโรงเรียน'!$C$7&amp;"/"&amp;'ข้อมูลโรงเรียน'!$C$8&amp;"   ครูประจำชั้น "&amp;'ข้อมูลโรงเรียน'!$C$9</f>
        <v/>
      </c>
      <c r="Z2">
        <f>IF(Z1&lt;=6,1,2)</f>
        <v/>
      </c>
      <c r="AA2">
        <f>"'อาหารกลางวัน-ภ"&amp;$Z$2&amp;"'!$A$1:$HA$23"</f>
        <v/>
      </c>
    </row>
    <row r="3" ht="20" customHeight="1">
      <c r="A3" s="768" t="inlineStr">
        <is>
          <t>ชื่อ - สกุล</t>
        </is>
      </c>
      <c r="B3" s="769">
        <f>'ข้อมูลนักเรียน'!T9&amp;IF('ข้อมูลนักเรียน'!G9="",""," ( "&amp;'ข้อมูลนักเรียน'!G9&amp;" )")</f>
        <v/>
      </c>
      <c r="G3" s="770" t="inlineStr">
        <is>
          <t>เลขที่</t>
        </is>
      </c>
      <c r="H3" s="771" t="n">
        <v>1</v>
      </c>
      <c r="J3" s="772" t="inlineStr">
        <is>
          <t>วันที่</t>
        </is>
      </c>
      <c r="K3" s="773" t="n">
        <v>2</v>
      </c>
      <c r="Z3">
        <f>IF(Z2=1,Z1-1,Z1-7)</f>
        <v/>
      </c>
      <c r="AA3">
        <f>"'นอนกลางวัน-ภ"&amp;$Z$2&amp;"'!$A$1:$HA$23"</f>
        <v/>
      </c>
    </row>
    <row r="4">
      <c r="J4" s="772" t="inlineStr">
        <is>
          <t>เดือน</t>
        </is>
      </c>
      <c r="K4" s="773" t="inlineStr">
        <is>
          <t>มิถุนายน</t>
        </is>
      </c>
      <c r="Z4">
        <f>4+Z3*34+$K$3-1</f>
        <v/>
      </c>
      <c r="AA4">
        <f>"'ดื่มนม-ภ"&amp;$Z$2&amp;"'!$A$1:$HA$23"</f>
        <v/>
      </c>
    </row>
    <row r="5">
      <c r="A5" s="260" t="inlineStr">
        <is>
          <t>การมาเรียน</t>
        </is>
      </c>
      <c r="B5" s="184" t="n"/>
      <c r="C5" s="774" t="inlineStr">
        <is>
          <t>อาหารกลางวัน</t>
        </is>
      </c>
      <c r="D5" s="184" t="n"/>
      <c r="E5" s="775" t="inlineStr">
        <is>
          <t>นอนกลางวัน</t>
        </is>
      </c>
      <c r="F5" s="184" t="n"/>
      <c r="G5" s="776" t="inlineStr">
        <is>
          <t>ดื่มนม</t>
        </is>
      </c>
      <c r="H5" s="184" t="n"/>
      <c r="J5" s="772" t="inlineStr">
        <is>
          <t>ข่าวสารถึง
ผู้ปกครอง</t>
        </is>
      </c>
      <c r="K5" s="777" t="inlineStr">
        <is>
          <t>พรุ่งนี้ให้นักเรียนใส่ชุดพละ และนำขวดน้ำมาด้วยนะคะ</t>
        </is>
      </c>
      <c r="Z5">
        <f>IFERROR(INDEX('ปฏิทิน'!$A$1:$HA$8,IF(Z2=1,2,6),Z4),0)</f>
        <v/>
      </c>
      <c r="AA5">
        <f>"'แปรงฟัน-ภ"&amp;$Z$2&amp;"'!$A$1:$HA$23"</f>
        <v/>
      </c>
    </row>
    <row r="6" ht="20" customHeight="1">
      <c r="A6" s="778">
        <f>IF($Z$5&lt;&gt;1,"-",IFERROR(CHOOSE(MATCH(INDEX(INDIRECT($AA$1),9,$Z$4)&amp;"",{"ม","ส","ล","ป","ข"},0),"มาเรียน","มาสาย","ลา","ป่วย","ขาดเรียน"),"-"))</f>
        <v/>
      </c>
      <c r="B6" s="184" t="n"/>
      <c r="C6" s="778">
        <f>IF($Z$5&lt;&gt;1,"-",IFERROR(CHOOSE(MATCH(INDEX(INDIRECT($AA$2),9,$Z$4)&amp;"",{"ห","ล","ง"},0),"ทานหมด","ทานเหลือ","ไม่ได้ทาน"),"-"))</f>
        <v/>
      </c>
      <c r="D6" s="184" t="n"/>
      <c r="E6" s="778">
        <f>IF($Z$5&lt;&gt;1,"-",IFERROR(CHOOSE(MATCH(INDEX(INDIRECT($AA$3),9,$Z$4)&amp;"",{"น","พ","ง"},0),"นอนหลับ","พักผ่อน (ไม่หลับ)","ไม่นอน"),"-"))</f>
        <v/>
      </c>
      <c r="F6" s="184" t="n"/>
      <c r="G6" s="778">
        <f>IF($Z$5&lt;&gt;1,"-",IFERROR(CHOOSE(MATCH(INDEX(INDIRECT($AA$4),9,$Z$4)&amp;"",{"✓","✗"},0),"ดื่มแล้ว","ไม่ได้ดื่ม"),"-"))</f>
        <v/>
      </c>
      <c r="H6" s="184" t="n"/>
      <c r="J6" s="779" t="n"/>
      <c r="Z6">
        <f>IFERROR(INDEX('ปฏิทิน'!$A$1:$HA$8,IF(Z2=1,1,5),Z4),"")</f>
        <v/>
      </c>
      <c r="AA6">
        <f>"'ขับถ่าย-ภ"&amp;$Z$2&amp;"'!$A$1:$HA$23"</f>
        <v/>
      </c>
    </row>
    <row r="7">
      <c r="A7" s="780" t="inlineStr">
        <is>
          <t>แปรงฟัน</t>
        </is>
      </c>
      <c r="B7" s="184" t="n"/>
      <c r="C7" s="781" t="inlineStr">
        <is>
          <t>การขับถ่าย</t>
        </is>
      </c>
      <c r="D7" s="184" t="n"/>
      <c r="E7" s="782" t="inlineStr">
        <is>
          <t>ออกกำลังกาย</t>
        </is>
      </c>
      <c r="F7" s="184" t="n"/>
      <c r="G7" s="783" t="inlineStr">
        <is>
          <t>ออมเงินวันนี้</t>
        </is>
      </c>
      <c r="H7" s="184" t="n"/>
      <c r="J7" s="779" t="n"/>
      <c r="AA7">
        <f>"'ออกกำลังกาย-ภ"&amp;$Z$2&amp;"'!$A$1:$HA$23"</f>
        <v/>
      </c>
    </row>
    <row r="8" ht="20" customHeight="1">
      <c r="A8" s="778">
        <f>IF($Z$5&lt;&gt;1,"-",IFERROR(CHOOSE(MATCH(INDEX(INDIRECT($AA$5),9,$Z$4)&amp;"",{"✓","✗"},0),"แปรงแล้ว","ไม่ได้แปรง"),"-"))</f>
        <v/>
      </c>
      <c r="B8" s="184" t="n"/>
      <c r="C8" s="778">
        <f>IF($Z$5&lt;&gt;1,"-",IFERROR(CHOOSE(MATCH(INDEX(INDIRECT($AA$6),9,$Z$4)&amp;"",{"อ","ช","ร","ผ"},0),"เข้าห้องน้ำเองได้","ครูช่วยเหลือ","ราด / เปียก","ใส่ผ้าอ้อม"),"-"))</f>
        <v/>
      </c>
      <c r="D8" s="184" t="n"/>
      <c r="E8" s="778">
        <f>IF($Z$5&lt;&gt;1,"-",IFERROR(CHOOSE(MATCH(INDEX(INDIRECT($AA$7),9,$Z$4)&amp;"",{"✓","✗"},0),"ร่วมกิจกรรม","ไม่ได้ร่วม"),"-"))</f>
        <v/>
      </c>
      <c r="F8" s="184" t="n"/>
      <c r="G8" s="778">
        <f>IF($Z$5&lt;&gt;1,"-",IF(N(INDEX(INDIRECT($AA$8),9,$Z$4))&gt;0,"ฝาก "&amp;TEXT(INDEX(INDIRECT($AA$8),9,$Z$4),"#,##0")&amp;" บาท","-"))</f>
        <v/>
      </c>
      <c r="H8" s="184" t="n"/>
      <c r="J8" s="784" t="n"/>
      <c r="AA8">
        <f>"'ออมเงิน-ภ"&amp;$Z$2&amp;"'!$A$1:$HA$23"</f>
        <v/>
      </c>
    </row>
    <row r="9">
      <c r="AA9">
        <f>"'เสาธง-ภ"&amp;$Z$2&amp;"'!$A$1:$HA$23"</f>
        <v/>
      </c>
    </row>
    <row r="10">
      <c r="A10" s="768" t="inlineStr">
        <is>
          <t>เมนูอาหาร</t>
        </is>
      </c>
      <c r="B10" s="230">
        <f>IF($Z$5&lt;&gt;1,"-",INDEX(INDIRECT($AA$2),17,$Z$4)&amp;"")</f>
        <v/>
      </c>
      <c r="E10" s="768" t="inlineStr">
        <is>
          <t>กิจกรรมวันนี้</t>
        </is>
      </c>
      <c r="F10" s="230">
        <f>IF($Z$5&lt;&gt;1,"-",TRIM(INDEX(INDIRECT($AA$9),17,$Z$4)&amp;"  "&amp;INDEX(INDIRECT($AA$7),17,$Z$4)))</f>
        <v/>
      </c>
      <c r="J10" s="189" t="inlineStr">
        <is>
          <t>1) เลือกวันที่และเดือน</t>
        </is>
      </c>
    </row>
    <row r="11">
      <c r="A11" s="768" t="inlineStr">
        <is>
          <t>ข่าวสารจากครู</t>
        </is>
      </c>
      <c r="B11" s="785">
        <f>$K$5&amp;""</f>
        <v/>
      </c>
      <c r="J11" s="189" t="inlineStr">
        <is>
          <t>2) พิมพ์ข่าวสารถึงผู้ปกครอง (ขึ้นทุกใบ)</t>
        </is>
      </c>
    </row>
    <row r="12">
      <c r="A12" s="184" t="n"/>
      <c r="J12" s="189" t="inlineStr">
        <is>
          <t>3) กด Ctrl + P  ได้ใบสื่อสารทุกคน หน้าละ 2 คน</t>
        </is>
      </c>
    </row>
    <row r="13">
      <c r="J13" s="189" t="inlineStr">
        <is>
          <t>ข้อมูลในใบดึงจากบันทึกประจำวันของวันนั้น</t>
        </is>
      </c>
    </row>
    <row r="14" ht="20" customHeight="1">
      <c r="A14" s="768" t="inlineStr">
        <is>
          <t>บันทึกจากครู</t>
        </is>
      </c>
      <c r="B14" s="786" t="inlineStr">
        <is>
          <t>......................................................................................................................................................</t>
        </is>
      </c>
      <c r="J14" s="189" t="inlineStr">
        <is>
          <t>(มาเรียน อาหาร นอน นม แปรงฟัน ขับถ่าย ออมเงิน)</t>
        </is>
      </c>
    </row>
    <row r="15" ht="20" customHeight="1">
      <c r="B15" s="786" t="inlineStr">
        <is>
          <t>......................................................................................................................................................</t>
        </is>
      </c>
      <c r="J15" s="189" t="inlineStr">
        <is>
          <t>ตัดตามเส้นประ แล้วแนบสมุดของเด็กแต่ละคน</t>
        </is>
      </c>
    </row>
    <row r="16"/>
    <row r="17" ht="20" customHeight="1">
      <c r="A17" s="768" t="inlineStr">
        <is>
          <t>ข้อความจากผู้ปกครอง</t>
        </is>
      </c>
      <c r="B17" s="786" t="inlineStr">
        <is>
          <t>......................................................................................................................................................</t>
        </is>
      </c>
      <c r="J17" s="787" t="inlineStr">
        <is>
          <t>🏠 กลับหน้าหลัก</t>
        </is>
      </c>
    </row>
    <row r="18" ht="20" customHeight="1">
      <c r="B18" s="786" t="inlineStr">
        <is>
          <t>......................................................................................................................................................</t>
        </is>
      </c>
    </row>
    <row r="19">
      <c r="J19" s="761" t="inlineStr">
        <is>
          <t>🖨️ หน้าที่ต้องพิมพ์</t>
        </is>
      </c>
    </row>
    <row r="20" ht="34" customHeight="1">
      <c r="A20" s="759" t="inlineStr">
        <is>
          <t>ลงชื่อครู ....................................................</t>
        </is>
      </c>
      <c r="E20" s="759" t="inlineStr">
        <is>
          <t>ลงชื่อผู้ปกครอง ....................................................</t>
        </is>
      </c>
      <c r="J20" s="762">
        <f>IF(COUNTIF('ข้อมูลนักเรียน'!$E$9:$E$13,"?*")=0,"ยังไม่มีรายชื่อนักเรียน","ห้องนี้มี "&amp;COUNTIF('ข้อมูลนักเรียน'!$E$9:$E$13,"?*")&amp;" คน  →  สั่งพิมพ์หน้า 1 ถึง "&amp;ROUNDUP(SUMPRODUCT(MAX(('ข้อมูลนักเรียน'!$E$9:$E$13&lt;&gt;"")*(ROW('ข้อมูลนักเรียน'!$E$9:$E$13)-8)))/2,0))</f>
        <v/>
      </c>
    </row>
    <row r="21">
      <c r="J21" s="763" t="inlineStr">
        <is>
          <t>(ใบสื่อสาร 2 คน / หน้า  •  ใน Ctrl + P เลือก “หน้า” แล้วใส่ช่วงหน้า)</t>
        </is>
      </c>
    </row>
    <row r="22">
      <c r="A22" s="788" t="inlineStr">
        <is>
          <t xml:space="preserve">✂ - - - - - - - - - - - - - - - - - - - - - - - - - - - - - - - - - - - - - - - - - - - - - - - - - - - - - - - - - - - - - - - - - - - - - - </t>
        </is>
      </c>
    </row>
    <row r="23"/>
    <row r="24"/>
    <row r="25"/>
    <row r="26" ht="22" customHeight="1">
      <c r="A26" s="764" t="inlineStr">
        <is>
          <t xml:space="preserve">  สมุดสื่อสารผู้ปกครองประจำวัน</t>
        </is>
      </c>
      <c r="F26" s="765">
        <f>IF($Z$5=1,"","(ไม่ใช่วันเรียน)  ")&amp;"วัน"&amp;IFERROR(CHOOSE(WEEKDAY($Z$6,2),"จันทร์","อังคาร","พุธ","พฤหัสบดี","ศุกร์","เสาร์","อาทิตย์"),"")&amp;"ที่ "&amp;$K$3&amp;" "&amp;$K$4&amp;" "&amp;IFERROR(YEAR($Z$6)+543,"")</f>
        <v/>
      </c>
    </row>
    <row r="27">
      <c r="A27" s="767">
        <f>"  โรงเรียน"&amp;'ข้อมูลโรงเรียน'!$C$5&amp;"   ชั้น"&amp;'ข้อมูลโรงเรียน'!$C$7&amp;"/"&amp;'ข้อมูลโรงเรียน'!$C$8&amp;"   ครูประจำชั้น "&amp;'ข้อมูลโรงเรียน'!$C$9</f>
        <v/>
      </c>
    </row>
    <row r="28" ht="20" customHeight="1">
      <c r="A28" s="768" t="inlineStr">
        <is>
          <t>ชื่อ - สกุล</t>
        </is>
      </c>
      <c r="B28" s="769">
        <f>'ข้อมูลนักเรียน'!T10&amp;IF('ข้อมูลนักเรียน'!G10="",""," ( "&amp;'ข้อมูลนักเรียน'!G10&amp;" )")</f>
        <v/>
      </c>
      <c r="G28" s="770" t="inlineStr">
        <is>
          <t>เลขที่</t>
        </is>
      </c>
      <c r="H28" s="771" t="n">
        <v>2</v>
      </c>
    </row>
    <row r="29"/>
    <row r="30">
      <c r="A30" s="260" t="inlineStr">
        <is>
          <t>การมาเรียน</t>
        </is>
      </c>
      <c r="B30" s="184" t="n"/>
      <c r="C30" s="774" t="inlineStr">
        <is>
          <t>อาหารกลางวัน</t>
        </is>
      </c>
      <c r="D30" s="184" t="n"/>
      <c r="E30" s="775" t="inlineStr">
        <is>
          <t>นอนกลางวัน</t>
        </is>
      </c>
      <c r="F30" s="184" t="n"/>
      <c r="G30" s="776" t="inlineStr">
        <is>
          <t>ดื่มนม</t>
        </is>
      </c>
      <c r="H30" s="184" t="n"/>
    </row>
    <row r="31" ht="20" customHeight="1">
      <c r="A31" s="778">
        <f>IF($Z$5&lt;&gt;1,"-",IFERROR(CHOOSE(MATCH(INDEX(INDIRECT($AA$1),10,$Z$4)&amp;"",{"ม","ส","ล","ป","ข"},0),"มาเรียน","มาสาย","ลา","ป่วย","ขาดเรียน"),"-"))</f>
        <v/>
      </c>
      <c r="B31" s="184" t="n"/>
      <c r="C31" s="778">
        <f>IF($Z$5&lt;&gt;1,"-",IFERROR(CHOOSE(MATCH(INDEX(INDIRECT($AA$2),10,$Z$4)&amp;"",{"ห","ล","ง"},0),"ทานหมด","ทานเหลือ","ไม่ได้ทาน"),"-"))</f>
        <v/>
      </c>
      <c r="D31" s="184" t="n"/>
      <c r="E31" s="778">
        <f>IF($Z$5&lt;&gt;1,"-",IFERROR(CHOOSE(MATCH(INDEX(INDIRECT($AA$3),10,$Z$4)&amp;"",{"น","พ","ง"},0),"นอนหลับ","พักผ่อน (ไม่หลับ)","ไม่นอน"),"-"))</f>
        <v/>
      </c>
      <c r="F31" s="184" t="n"/>
      <c r="G31" s="778">
        <f>IF($Z$5&lt;&gt;1,"-",IFERROR(CHOOSE(MATCH(INDEX(INDIRECT($AA$4),10,$Z$4)&amp;"",{"✓","✗"},0),"ดื่มแล้ว","ไม่ได้ดื่ม"),"-"))</f>
        <v/>
      </c>
      <c r="H31" s="184" t="n"/>
    </row>
    <row r="32">
      <c r="A32" s="780" t="inlineStr">
        <is>
          <t>แปรงฟัน</t>
        </is>
      </c>
      <c r="B32" s="184" t="n"/>
      <c r="C32" s="781" t="inlineStr">
        <is>
          <t>การขับถ่าย</t>
        </is>
      </c>
      <c r="D32" s="184" t="n"/>
      <c r="E32" s="782" t="inlineStr">
        <is>
          <t>ออกกำลังกาย</t>
        </is>
      </c>
      <c r="F32" s="184" t="n"/>
      <c r="G32" s="783" t="inlineStr">
        <is>
          <t>ออมเงินวันนี้</t>
        </is>
      </c>
      <c r="H32" s="184" t="n"/>
    </row>
    <row r="33" ht="20" customHeight="1">
      <c r="A33" s="778">
        <f>IF($Z$5&lt;&gt;1,"-",IFERROR(CHOOSE(MATCH(INDEX(INDIRECT($AA$5),10,$Z$4)&amp;"",{"✓","✗"},0),"แปรงแล้ว","ไม่ได้แปรง"),"-"))</f>
        <v/>
      </c>
      <c r="B33" s="184" t="n"/>
      <c r="C33" s="778">
        <f>IF($Z$5&lt;&gt;1,"-",IFERROR(CHOOSE(MATCH(INDEX(INDIRECT($AA$6),10,$Z$4)&amp;"",{"อ","ช","ร","ผ"},0),"เข้าห้องน้ำเองได้","ครูช่วยเหลือ","ราด / เปียก","ใส่ผ้าอ้อม"),"-"))</f>
        <v/>
      </c>
      <c r="D33" s="184" t="n"/>
      <c r="E33" s="778">
        <f>IF($Z$5&lt;&gt;1,"-",IFERROR(CHOOSE(MATCH(INDEX(INDIRECT($AA$7),10,$Z$4)&amp;"",{"✓","✗"},0),"ร่วมกิจกรรม","ไม่ได้ร่วม"),"-"))</f>
        <v/>
      </c>
      <c r="F33" s="184" t="n"/>
      <c r="G33" s="778">
        <f>IF($Z$5&lt;&gt;1,"-",IF(N(INDEX(INDIRECT($AA$8),10,$Z$4))&gt;0,"ฝาก "&amp;TEXT(INDEX(INDIRECT($AA$8),10,$Z$4),"#,##0")&amp;" บาท","-"))</f>
        <v/>
      </c>
      <c r="H33" s="184" t="n"/>
    </row>
    <row r="34"/>
    <row r="35">
      <c r="A35" s="768" t="inlineStr">
        <is>
          <t>เมนูอาหาร</t>
        </is>
      </c>
      <c r="B35" s="230">
        <f>IF($Z$5&lt;&gt;1,"-",INDEX(INDIRECT($AA$2),17,$Z$4)&amp;"")</f>
        <v/>
      </c>
      <c r="E35" s="768" t="inlineStr">
        <is>
          <t>กิจกรรมวันนี้</t>
        </is>
      </c>
      <c r="F35" s="230">
        <f>IF($Z$5&lt;&gt;1,"-",TRIM(INDEX(INDIRECT($AA$9),17,$Z$4)&amp;"  "&amp;INDEX(INDIRECT($AA$7),17,$Z$4)))</f>
        <v/>
      </c>
    </row>
    <row r="36">
      <c r="A36" s="768" t="inlineStr">
        <is>
          <t>ข่าวสารจากครู</t>
        </is>
      </c>
      <c r="B36" s="785">
        <f>$K$5&amp;""</f>
        <v/>
      </c>
    </row>
    <row r="37">
      <c r="A37" s="184" t="n"/>
    </row>
    <row r="38"/>
    <row r="39" ht="20" customHeight="1">
      <c r="A39" s="768" t="inlineStr">
        <is>
          <t>บันทึกจากครู</t>
        </is>
      </c>
      <c r="B39" s="786" t="inlineStr">
        <is>
          <t>......................................................................................................................................................</t>
        </is>
      </c>
    </row>
    <row r="40" ht="20" customHeight="1">
      <c r="B40" s="786" t="inlineStr">
        <is>
          <t>......................................................................................................................................................</t>
        </is>
      </c>
    </row>
    <row r="41"/>
    <row r="42" ht="20" customHeight="1">
      <c r="A42" s="768" t="inlineStr">
        <is>
          <t>ข้อความจากผู้ปกครอง</t>
        </is>
      </c>
      <c r="B42" s="786" t="inlineStr">
        <is>
          <t>......................................................................................................................................................</t>
        </is>
      </c>
    </row>
    <row r="43" ht="20" customHeight="1">
      <c r="B43" s="786" t="inlineStr">
        <is>
          <t>......................................................................................................................................................</t>
        </is>
      </c>
    </row>
    <row r="44"/>
    <row r="45">
      <c r="A45" s="759" t="inlineStr">
        <is>
          <t>ลงชื่อครู ....................................................</t>
        </is>
      </c>
      <c r="E45" s="759" t="inlineStr">
        <is>
          <t>ลงชื่อผู้ปกครอง ....................................................</t>
        </is>
      </c>
    </row>
    <row r="46"/>
    <row r="47">
      <c r="A47" s="788" t="inlineStr">
        <is>
          <t xml:space="preserve">✂ - - - - - - - - - - - - - - - - - - - - - - - - - - - - - - - - - - - - - - - - - - - - - - - - - - - - - - - - - - - - - - - - - - - - - - </t>
        </is>
      </c>
    </row>
    <row r="48"/>
    <row r="49"/>
    <row r="50"/>
    <row r="51" ht="22" customHeight="1">
      <c r="A51" s="764" t="inlineStr">
        <is>
          <t xml:space="preserve">  สมุดสื่อสารผู้ปกครองประจำวัน</t>
        </is>
      </c>
      <c r="F51" s="765">
        <f>IF($Z$5=1,"","(ไม่ใช่วันเรียน)  ")&amp;"วัน"&amp;IFERROR(CHOOSE(WEEKDAY($Z$6,2),"จันทร์","อังคาร","พุธ","พฤหัสบดี","ศุกร์","เสาร์","อาทิตย์"),"")&amp;"ที่ "&amp;$K$3&amp;" "&amp;$K$4&amp;" "&amp;IFERROR(YEAR($Z$6)+543,"")</f>
        <v/>
      </c>
    </row>
    <row r="52">
      <c r="A52" s="767">
        <f>"  โรงเรียน"&amp;'ข้อมูลโรงเรียน'!$C$5&amp;"   ชั้น"&amp;'ข้อมูลโรงเรียน'!$C$7&amp;"/"&amp;'ข้อมูลโรงเรียน'!$C$8&amp;"   ครูประจำชั้น "&amp;'ข้อมูลโรงเรียน'!$C$9</f>
        <v/>
      </c>
    </row>
    <row r="53" ht="20" customHeight="1">
      <c r="A53" s="768" t="inlineStr">
        <is>
          <t>ชื่อ - สกุล</t>
        </is>
      </c>
      <c r="B53" s="769">
        <f>'ข้อมูลนักเรียน'!T11&amp;IF('ข้อมูลนักเรียน'!G11="",""," ( "&amp;'ข้อมูลนักเรียน'!G11&amp;" )")</f>
        <v/>
      </c>
      <c r="G53" s="770" t="inlineStr">
        <is>
          <t>เลขที่</t>
        </is>
      </c>
      <c r="H53" s="771" t="n">
        <v>3</v>
      </c>
    </row>
    <row r="54"/>
    <row r="55">
      <c r="A55" s="260" t="inlineStr">
        <is>
          <t>การมาเรียน</t>
        </is>
      </c>
      <c r="B55" s="184" t="n"/>
      <c r="C55" s="774" t="inlineStr">
        <is>
          <t>อาหารกลางวัน</t>
        </is>
      </c>
      <c r="D55" s="184" t="n"/>
      <c r="E55" s="775" t="inlineStr">
        <is>
          <t>นอนกลางวัน</t>
        </is>
      </c>
      <c r="F55" s="184" t="n"/>
      <c r="G55" s="776" t="inlineStr">
        <is>
          <t>ดื่มนม</t>
        </is>
      </c>
      <c r="H55" s="184" t="n"/>
    </row>
    <row r="56" ht="20" customHeight="1">
      <c r="A56" s="778">
        <f>IF($Z$5&lt;&gt;1,"-",IFERROR(CHOOSE(MATCH(INDEX(INDIRECT($AA$1),11,$Z$4)&amp;"",{"ม","ส","ล","ป","ข"},0),"มาเรียน","มาสาย","ลา","ป่วย","ขาดเรียน"),"-"))</f>
        <v/>
      </c>
      <c r="B56" s="184" t="n"/>
      <c r="C56" s="778">
        <f>IF($Z$5&lt;&gt;1,"-",IFERROR(CHOOSE(MATCH(INDEX(INDIRECT($AA$2),11,$Z$4)&amp;"",{"ห","ล","ง"},0),"ทานหมด","ทานเหลือ","ไม่ได้ทาน"),"-"))</f>
        <v/>
      </c>
      <c r="D56" s="184" t="n"/>
      <c r="E56" s="778">
        <f>IF($Z$5&lt;&gt;1,"-",IFERROR(CHOOSE(MATCH(INDEX(INDIRECT($AA$3),11,$Z$4)&amp;"",{"น","พ","ง"},0),"นอนหลับ","พักผ่อน (ไม่หลับ)","ไม่นอน"),"-"))</f>
        <v/>
      </c>
      <c r="F56" s="184" t="n"/>
      <c r="G56" s="778">
        <f>IF($Z$5&lt;&gt;1,"-",IFERROR(CHOOSE(MATCH(INDEX(INDIRECT($AA$4),11,$Z$4)&amp;"",{"✓","✗"},0),"ดื่มแล้ว","ไม่ได้ดื่ม"),"-"))</f>
        <v/>
      </c>
      <c r="H56" s="184" t="n"/>
    </row>
    <row r="57">
      <c r="A57" s="780" t="inlineStr">
        <is>
          <t>แปรงฟัน</t>
        </is>
      </c>
      <c r="B57" s="184" t="n"/>
      <c r="C57" s="781" t="inlineStr">
        <is>
          <t>การขับถ่าย</t>
        </is>
      </c>
      <c r="D57" s="184" t="n"/>
      <c r="E57" s="782" t="inlineStr">
        <is>
          <t>ออกกำลังกาย</t>
        </is>
      </c>
      <c r="F57" s="184" t="n"/>
      <c r="G57" s="783" t="inlineStr">
        <is>
          <t>ออมเงินวันนี้</t>
        </is>
      </c>
      <c r="H57" s="184" t="n"/>
    </row>
    <row r="58" ht="20" customHeight="1">
      <c r="A58" s="778">
        <f>IF($Z$5&lt;&gt;1,"-",IFERROR(CHOOSE(MATCH(INDEX(INDIRECT($AA$5),11,$Z$4)&amp;"",{"✓","✗"},0),"แปรงแล้ว","ไม่ได้แปรง"),"-"))</f>
        <v/>
      </c>
      <c r="B58" s="184" t="n"/>
      <c r="C58" s="778">
        <f>IF($Z$5&lt;&gt;1,"-",IFERROR(CHOOSE(MATCH(INDEX(INDIRECT($AA$6),11,$Z$4)&amp;"",{"อ","ช","ร","ผ"},0),"เข้าห้องน้ำเองได้","ครูช่วยเหลือ","ราด / เปียก","ใส่ผ้าอ้อม"),"-"))</f>
        <v/>
      </c>
      <c r="D58" s="184" t="n"/>
      <c r="E58" s="778">
        <f>IF($Z$5&lt;&gt;1,"-",IFERROR(CHOOSE(MATCH(INDEX(INDIRECT($AA$7),11,$Z$4)&amp;"",{"✓","✗"},0),"ร่วมกิจกรรม","ไม่ได้ร่วม"),"-"))</f>
        <v/>
      </c>
      <c r="F58" s="184" t="n"/>
      <c r="G58" s="778">
        <f>IF($Z$5&lt;&gt;1,"-",IF(N(INDEX(INDIRECT($AA$8),11,$Z$4))&gt;0,"ฝาก "&amp;TEXT(INDEX(INDIRECT($AA$8),11,$Z$4),"#,##0")&amp;" บาท","-"))</f>
        <v/>
      </c>
      <c r="H58" s="184" t="n"/>
    </row>
    <row r="59"/>
    <row r="60">
      <c r="A60" s="768" t="inlineStr">
        <is>
          <t>เมนูอาหาร</t>
        </is>
      </c>
      <c r="B60" s="230">
        <f>IF($Z$5&lt;&gt;1,"-",INDEX(INDIRECT($AA$2),17,$Z$4)&amp;"")</f>
        <v/>
      </c>
      <c r="E60" s="768" t="inlineStr">
        <is>
          <t>กิจกรรมวันนี้</t>
        </is>
      </c>
      <c r="F60" s="230">
        <f>IF($Z$5&lt;&gt;1,"-",TRIM(INDEX(INDIRECT($AA$9),17,$Z$4)&amp;"  "&amp;INDEX(INDIRECT($AA$7),17,$Z$4)))</f>
        <v/>
      </c>
    </row>
    <row r="61">
      <c r="A61" s="768" t="inlineStr">
        <is>
          <t>ข่าวสารจากครู</t>
        </is>
      </c>
      <c r="B61" s="785">
        <f>$K$5&amp;""</f>
        <v/>
      </c>
    </row>
    <row r="62">
      <c r="A62" s="184" t="n"/>
    </row>
    <row r="63"/>
    <row r="64" ht="20" customHeight="1">
      <c r="A64" s="768" t="inlineStr">
        <is>
          <t>บันทึกจากครู</t>
        </is>
      </c>
      <c r="B64" s="786" t="inlineStr">
        <is>
          <t>......................................................................................................................................................</t>
        </is>
      </c>
    </row>
    <row r="65" ht="20" customHeight="1">
      <c r="B65" s="786" t="inlineStr">
        <is>
          <t>......................................................................................................................................................</t>
        </is>
      </c>
    </row>
    <row r="66"/>
    <row r="67" ht="20" customHeight="1">
      <c r="A67" s="768" t="inlineStr">
        <is>
          <t>ข้อความจากผู้ปกครอง</t>
        </is>
      </c>
      <c r="B67" s="786" t="inlineStr">
        <is>
          <t>......................................................................................................................................................</t>
        </is>
      </c>
    </row>
    <row r="68" ht="20" customHeight="1">
      <c r="B68" s="786" t="inlineStr">
        <is>
          <t>......................................................................................................................................................</t>
        </is>
      </c>
    </row>
    <row r="69"/>
    <row r="70">
      <c r="A70" s="759" t="inlineStr">
        <is>
          <t>ลงชื่อครู ....................................................</t>
        </is>
      </c>
      <c r="E70" s="759" t="inlineStr">
        <is>
          <t>ลงชื่อผู้ปกครอง ....................................................</t>
        </is>
      </c>
    </row>
    <row r="71"/>
    <row r="72">
      <c r="A72" s="788" t="inlineStr">
        <is>
          <t xml:space="preserve">✂ - - - - - - - - - - - - - - - - - - - - - - - - - - - - - - - - - - - - - - - - - - - - - - - - - - - - - - - - - - - - - - - - - - - - - - </t>
        </is>
      </c>
    </row>
    <row r="73"/>
    <row r="74"/>
    <row r="75"/>
    <row r="76" ht="22" customHeight="1">
      <c r="A76" s="764" t="inlineStr">
        <is>
          <t xml:space="preserve">  สมุดสื่อสารผู้ปกครองประจำวัน</t>
        </is>
      </c>
      <c r="F76" s="765">
        <f>IF($Z$5=1,"","(ไม่ใช่วันเรียน)  ")&amp;"วัน"&amp;IFERROR(CHOOSE(WEEKDAY($Z$6,2),"จันทร์","อังคาร","พุธ","พฤหัสบดี","ศุกร์","เสาร์","อาทิตย์"),"")&amp;"ที่ "&amp;$K$3&amp;" "&amp;$K$4&amp;" "&amp;IFERROR(YEAR($Z$6)+543,"")</f>
        <v/>
      </c>
    </row>
    <row r="77">
      <c r="A77" s="767">
        <f>"  โรงเรียน"&amp;'ข้อมูลโรงเรียน'!$C$5&amp;"   ชั้น"&amp;'ข้อมูลโรงเรียน'!$C$7&amp;"/"&amp;'ข้อมูลโรงเรียน'!$C$8&amp;"   ครูประจำชั้น "&amp;'ข้อมูลโรงเรียน'!$C$9</f>
        <v/>
      </c>
    </row>
    <row r="78" ht="20" customHeight="1">
      <c r="A78" s="768" t="inlineStr">
        <is>
          <t>ชื่อ - สกุล</t>
        </is>
      </c>
      <c r="B78" s="769">
        <f>'ข้อมูลนักเรียน'!T12&amp;IF('ข้อมูลนักเรียน'!G12="",""," ( "&amp;'ข้อมูลนักเรียน'!G12&amp;" )")</f>
        <v/>
      </c>
      <c r="G78" s="770" t="inlineStr">
        <is>
          <t>เลขที่</t>
        </is>
      </c>
      <c r="H78" s="771" t="n">
        <v>4</v>
      </c>
    </row>
    <row r="79"/>
    <row r="80">
      <c r="A80" s="260" t="inlineStr">
        <is>
          <t>การมาเรียน</t>
        </is>
      </c>
      <c r="B80" s="184" t="n"/>
      <c r="C80" s="774" t="inlineStr">
        <is>
          <t>อาหารกลางวัน</t>
        </is>
      </c>
      <c r="D80" s="184" t="n"/>
      <c r="E80" s="775" t="inlineStr">
        <is>
          <t>นอนกลางวัน</t>
        </is>
      </c>
      <c r="F80" s="184" t="n"/>
      <c r="G80" s="776" t="inlineStr">
        <is>
          <t>ดื่มนม</t>
        </is>
      </c>
      <c r="H80" s="184" t="n"/>
    </row>
    <row r="81" ht="20" customHeight="1">
      <c r="A81" s="778">
        <f>IF($Z$5&lt;&gt;1,"-",IFERROR(CHOOSE(MATCH(INDEX(INDIRECT($AA$1),12,$Z$4)&amp;"",{"ม","ส","ล","ป","ข"},0),"มาเรียน","มาสาย","ลา","ป่วย","ขาดเรียน"),"-"))</f>
        <v/>
      </c>
      <c r="B81" s="184" t="n"/>
      <c r="C81" s="778">
        <f>IF($Z$5&lt;&gt;1,"-",IFERROR(CHOOSE(MATCH(INDEX(INDIRECT($AA$2),12,$Z$4)&amp;"",{"ห","ล","ง"},0),"ทานหมด","ทานเหลือ","ไม่ได้ทาน"),"-"))</f>
        <v/>
      </c>
      <c r="D81" s="184" t="n"/>
      <c r="E81" s="778">
        <f>IF($Z$5&lt;&gt;1,"-",IFERROR(CHOOSE(MATCH(INDEX(INDIRECT($AA$3),12,$Z$4)&amp;"",{"น","พ","ง"},0),"นอนหลับ","พักผ่อน (ไม่หลับ)","ไม่นอน"),"-"))</f>
        <v/>
      </c>
      <c r="F81" s="184" t="n"/>
      <c r="G81" s="778">
        <f>IF($Z$5&lt;&gt;1,"-",IFERROR(CHOOSE(MATCH(INDEX(INDIRECT($AA$4),12,$Z$4)&amp;"",{"✓","✗"},0),"ดื่มแล้ว","ไม่ได้ดื่ม"),"-"))</f>
        <v/>
      </c>
      <c r="H81" s="184" t="n"/>
    </row>
    <row r="82">
      <c r="A82" s="780" t="inlineStr">
        <is>
          <t>แปรงฟัน</t>
        </is>
      </c>
      <c r="B82" s="184" t="n"/>
      <c r="C82" s="781" t="inlineStr">
        <is>
          <t>การขับถ่าย</t>
        </is>
      </c>
      <c r="D82" s="184" t="n"/>
      <c r="E82" s="782" t="inlineStr">
        <is>
          <t>ออกกำลังกาย</t>
        </is>
      </c>
      <c r="F82" s="184" t="n"/>
      <c r="G82" s="783" t="inlineStr">
        <is>
          <t>ออมเงินวันนี้</t>
        </is>
      </c>
      <c r="H82" s="184" t="n"/>
    </row>
    <row r="83" ht="20" customHeight="1">
      <c r="A83" s="778">
        <f>IF($Z$5&lt;&gt;1,"-",IFERROR(CHOOSE(MATCH(INDEX(INDIRECT($AA$5),12,$Z$4)&amp;"",{"✓","✗"},0),"แปรงแล้ว","ไม่ได้แปรง"),"-"))</f>
        <v/>
      </c>
      <c r="B83" s="184" t="n"/>
      <c r="C83" s="778">
        <f>IF($Z$5&lt;&gt;1,"-",IFERROR(CHOOSE(MATCH(INDEX(INDIRECT($AA$6),12,$Z$4)&amp;"",{"อ","ช","ร","ผ"},0),"เข้าห้องน้ำเองได้","ครูช่วยเหลือ","ราด / เปียก","ใส่ผ้าอ้อม"),"-"))</f>
        <v/>
      </c>
      <c r="D83" s="184" t="n"/>
      <c r="E83" s="778">
        <f>IF($Z$5&lt;&gt;1,"-",IFERROR(CHOOSE(MATCH(INDEX(INDIRECT($AA$7),12,$Z$4)&amp;"",{"✓","✗"},0),"ร่วมกิจกรรม","ไม่ได้ร่วม"),"-"))</f>
        <v/>
      </c>
      <c r="F83" s="184" t="n"/>
      <c r="G83" s="778">
        <f>IF($Z$5&lt;&gt;1,"-",IF(N(INDEX(INDIRECT($AA$8),12,$Z$4))&gt;0,"ฝาก "&amp;TEXT(INDEX(INDIRECT($AA$8),12,$Z$4),"#,##0")&amp;" บาท","-"))</f>
        <v/>
      </c>
      <c r="H83" s="184" t="n"/>
    </row>
    <row r="84"/>
    <row r="85">
      <c r="A85" s="768" t="inlineStr">
        <is>
          <t>เมนูอาหาร</t>
        </is>
      </c>
      <c r="B85" s="230">
        <f>IF($Z$5&lt;&gt;1,"-",INDEX(INDIRECT($AA$2),17,$Z$4)&amp;"")</f>
        <v/>
      </c>
      <c r="E85" s="768" t="inlineStr">
        <is>
          <t>กิจกรรมวันนี้</t>
        </is>
      </c>
      <c r="F85" s="230">
        <f>IF($Z$5&lt;&gt;1,"-",TRIM(INDEX(INDIRECT($AA$9),17,$Z$4)&amp;"  "&amp;INDEX(INDIRECT($AA$7),17,$Z$4)))</f>
        <v/>
      </c>
    </row>
    <row r="86">
      <c r="A86" s="768" t="inlineStr">
        <is>
          <t>ข่าวสารจากครู</t>
        </is>
      </c>
      <c r="B86" s="785">
        <f>$K$5&amp;""</f>
        <v/>
      </c>
    </row>
    <row r="87">
      <c r="A87" s="184" t="n"/>
    </row>
    <row r="88"/>
    <row r="89" ht="20" customHeight="1">
      <c r="A89" s="768" t="inlineStr">
        <is>
          <t>บันทึกจากครู</t>
        </is>
      </c>
      <c r="B89" s="786" t="inlineStr">
        <is>
          <t>......................................................................................................................................................</t>
        </is>
      </c>
    </row>
    <row r="90" ht="20" customHeight="1">
      <c r="B90" s="786" t="inlineStr">
        <is>
          <t>......................................................................................................................................................</t>
        </is>
      </c>
    </row>
    <row r="91"/>
    <row r="92" ht="20" customHeight="1">
      <c r="A92" s="768" t="inlineStr">
        <is>
          <t>ข้อความจากผู้ปกครอง</t>
        </is>
      </c>
      <c r="B92" s="786" t="inlineStr">
        <is>
          <t>......................................................................................................................................................</t>
        </is>
      </c>
    </row>
    <row r="93" ht="20" customHeight="1">
      <c r="B93" s="786" t="inlineStr">
        <is>
          <t>......................................................................................................................................................</t>
        </is>
      </c>
    </row>
    <row r="94"/>
    <row r="95">
      <c r="A95" s="759" t="inlineStr">
        <is>
          <t>ลงชื่อครู ....................................................</t>
        </is>
      </c>
      <c r="E95" s="759" t="inlineStr">
        <is>
          <t>ลงชื่อผู้ปกครอง ....................................................</t>
        </is>
      </c>
    </row>
    <row r="96"/>
    <row r="97">
      <c r="A97" s="788" t="inlineStr">
        <is>
          <t xml:space="preserve">✂ - - - - - - - - - - - - - - - - - - - - - - - - - - - - - - - - - - - - - - - - - - - - - - - - - - - - - - - - - - - - - - - - - - - - - - </t>
        </is>
      </c>
    </row>
    <row r="98"/>
    <row r="99"/>
    <row r="100"/>
    <row r="101" ht="22" customHeight="1">
      <c r="A101" s="764" t="inlineStr">
        <is>
          <t xml:space="preserve">  สมุดสื่อสารผู้ปกครองประจำวัน</t>
        </is>
      </c>
      <c r="F101" s="765">
        <f>IF($Z$5=1,"","(ไม่ใช่วันเรียน)  ")&amp;"วัน"&amp;IFERROR(CHOOSE(WEEKDAY($Z$6,2),"จันทร์","อังคาร","พุธ","พฤหัสบดี","ศุกร์","เสาร์","อาทิตย์"),"")&amp;"ที่ "&amp;$K$3&amp;" "&amp;$K$4&amp;" "&amp;IFERROR(YEAR($Z$6)+543,"")</f>
        <v/>
      </c>
    </row>
    <row r="102">
      <c r="A102" s="767">
        <f>"  โรงเรียน"&amp;'ข้อมูลโรงเรียน'!$C$5&amp;"   ชั้น"&amp;'ข้อมูลโรงเรียน'!$C$7&amp;"/"&amp;'ข้อมูลโรงเรียน'!$C$8&amp;"   ครูประจำชั้น "&amp;'ข้อมูลโรงเรียน'!$C$9</f>
        <v/>
      </c>
    </row>
    <row r="103" ht="20" customHeight="1">
      <c r="A103" s="768" t="inlineStr">
        <is>
          <t>ชื่อ - สกุล</t>
        </is>
      </c>
      <c r="B103" s="769">
        <f>'ข้อมูลนักเรียน'!T13&amp;IF('ข้อมูลนักเรียน'!G13="",""," ( "&amp;'ข้อมูลนักเรียน'!G13&amp;" )")</f>
        <v/>
      </c>
      <c r="G103" s="770" t="inlineStr">
        <is>
          <t>เลขที่</t>
        </is>
      </c>
      <c r="H103" s="771" t="n">
        <v>5</v>
      </c>
    </row>
    <row r="104"/>
    <row r="105">
      <c r="A105" s="260" t="inlineStr">
        <is>
          <t>การมาเรียน</t>
        </is>
      </c>
      <c r="B105" s="184" t="n"/>
      <c r="C105" s="774" t="inlineStr">
        <is>
          <t>อาหารกลางวัน</t>
        </is>
      </c>
      <c r="D105" s="184" t="n"/>
      <c r="E105" s="775" t="inlineStr">
        <is>
          <t>นอนกลางวัน</t>
        </is>
      </c>
      <c r="F105" s="184" t="n"/>
      <c r="G105" s="776" t="inlineStr">
        <is>
          <t>ดื่มนม</t>
        </is>
      </c>
      <c r="H105" s="184" t="n"/>
    </row>
    <row r="106" ht="20" customHeight="1">
      <c r="A106" s="778">
        <f>IF($Z$5&lt;&gt;1,"-",IFERROR(CHOOSE(MATCH(INDEX(INDIRECT($AA$1),13,$Z$4)&amp;"",{"ม","ส","ล","ป","ข"},0),"มาเรียน","มาสาย","ลา","ป่วย","ขาดเรียน"),"-"))</f>
        <v/>
      </c>
      <c r="B106" s="184" t="n"/>
      <c r="C106" s="778">
        <f>IF($Z$5&lt;&gt;1,"-",IFERROR(CHOOSE(MATCH(INDEX(INDIRECT($AA$2),13,$Z$4)&amp;"",{"ห","ล","ง"},0),"ทานหมด","ทานเหลือ","ไม่ได้ทาน"),"-"))</f>
        <v/>
      </c>
      <c r="D106" s="184" t="n"/>
      <c r="E106" s="778">
        <f>IF($Z$5&lt;&gt;1,"-",IFERROR(CHOOSE(MATCH(INDEX(INDIRECT($AA$3),13,$Z$4)&amp;"",{"น","พ","ง"},0),"นอนหลับ","พักผ่อน (ไม่หลับ)","ไม่นอน"),"-"))</f>
        <v/>
      </c>
      <c r="F106" s="184" t="n"/>
      <c r="G106" s="778">
        <f>IF($Z$5&lt;&gt;1,"-",IFERROR(CHOOSE(MATCH(INDEX(INDIRECT($AA$4),13,$Z$4)&amp;"",{"✓","✗"},0),"ดื่มแล้ว","ไม่ได้ดื่ม"),"-"))</f>
        <v/>
      </c>
      <c r="H106" s="184" t="n"/>
    </row>
    <row r="107">
      <c r="A107" s="780" t="inlineStr">
        <is>
          <t>แปรงฟัน</t>
        </is>
      </c>
      <c r="B107" s="184" t="n"/>
      <c r="C107" s="781" t="inlineStr">
        <is>
          <t>การขับถ่าย</t>
        </is>
      </c>
      <c r="D107" s="184" t="n"/>
      <c r="E107" s="782" t="inlineStr">
        <is>
          <t>ออกกำลังกาย</t>
        </is>
      </c>
      <c r="F107" s="184" t="n"/>
      <c r="G107" s="783" t="inlineStr">
        <is>
          <t>ออมเงินวันนี้</t>
        </is>
      </c>
      <c r="H107" s="184" t="n"/>
    </row>
    <row r="108" ht="20" customHeight="1">
      <c r="A108" s="778">
        <f>IF($Z$5&lt;&gt;1,"-",IFERROR(CHOOSE(MATCH(INDEX(INDIRECT($AA$5),13,$Z$4)&amp;"",{"✓","✗"},0),"แปรงแล้ว","ไม่ได้แปรง"),"-"))</f>
        <v/>
      </c>
      <c r="B108" s="184" t="n"/>
      <c r="C108" s="778">
        <f>IF($Z$5&lt;&gt;1,"-",IFERROR(CHOOSE(MATCH(INDEX(INDIRECT($AA$6),13,$Z$4)&amp;"",{"อ","ช","ร","ผ"},0),"เข้าห้องน้ำเองได้","ครูช่วยเหลือ","ราด / เปียก","ใส่ผ้าอ้อม"),"-"))</f>
        <v/>
      </c>
      <c r="D108" s="184" t="n"/>
      <c r="E108" s="778">
        <f>IF($Z$5&lt;&gt;1,"-",IFERROR(CHOOSE(MATCH(INDEX(INDIRECT($AA$7),13,$Z$4)&amp;"",{"✓","✗"},0),"ร่วมกิจกรรม","ไม่ได้ร่วม"),"-"))</f>
        <v/>
      </c>
      <c r="F108" s="184" t="n"/>
      <c r="G108" s="778">
        <f>IF($Z$5&lt;&gt;1,"-",IF(N(INDEX(INDIRECT($AA$8),13,$Z$4))&gt;0,"ฝาก "&amp;TEXT(INDEX(INDIRECT($AA$8),13,$Z$4),"#,##0")&amp;" บาท","-"))</f>
        <v/>
      </c>
      <c r="H108" s="184" t="n"/>
    </row>
    <row r="109"/>
    <row r="110">
      <c r="A110" s="768" t="inlineStr">
        <is>
          <t>เมนูอาหาร</t>
        </is>
      </c>
      <c r="B110" s="230">
        <f>IF($Z$5&lt;&gt;1,"-",INDEX(INDIRECT($AA$2),17,$Z$4)&amp;"")</f>
        <v/>
      </c>
      <c r="E110" s="768" t="inlineStr">
        <is>
          <t>กิจกรรมวันนี้</t>
        </is>
      </c>
      <c r="F110" s="230">
        <f>IF($Z$5&lt;&gt;1,"-",TRIM(INDEX(INDIRECT($AA$9),17,$Z$4)&amp;"  "&amp;INDEX(INDIRECT($AA$7),17,$Z$4)))</f>
        <v/>
      </c>
    </row>
    <row r="111">
      <c r="A111" s="768" t="inlineStr">
        <is>
          <t>ข่าวสารจากครู</t>
        </is>
      </c>
      <c r="B111" s="785">
        <f>$K$5&amp;""</f>
        <v/>
      </c>
    </row>
    <row r="112">
      <c r="A112" s="184" t="n"/>
    </row>
    <row r="113"/>
    <row r="114" ht="20" customHeight="1">
      <c r="A114" s="768" t="inlineStr">
        <is>
          <t>บันทึกจากครู</t>
        </is>
      </c>
      <c r="B114" s="786" t="inlineStr">
        <is>
          <t>......................................................................................................................................................</t>
        </is>
      </c>
    </row>
    <row r="115" ht="20" customHeight="1">
      <c r="B115" s="786" t="inlineStr">
        <is>
          <t>......................................................................................................................................................</t>
        </is>
      </c>
    </row>
    <row r="116"/>
    <row r="117" ht="20" customHeight="1">
      <c r="A117" s="768" t="inlineStr">
        <is>
          <t>ข้อความจากผู้ปกครอง</t>
        </is>
      </c>
      <c r="B117" s="786" t="inlineStr">
        <is>
          <t>......................................................................................................................................................</t>
        </is>
      </c>
    </row>
    <row r="118" ht="20" customHeight="1">
      <c r="B118" s="786" t="inlineStr">
        <is>
          <t>......................................................................................................................................................</t>
        </is>
      </c>
    </row>
    <row r="119"/>
    <row r="120">
      <c r="A120" s="759" t="inlineStr">
        <is>
          <t>ลงชื่อครู ....................................................</t>
        </is>
      </c>
      <c r="E120" s="759" t="inlineStr">
        <is>
          <t>ลงชื่อผู้ปกครอง ....................................................</t>
        </is>
      </c>
    </row>
    <row r="121"/>
    <row r="122">
      <c r="A122" s="788" t="inlineStr">
        <is>
          <t xml:space="preserve">✂ - - - - - - - - - - - - - - - - - - - - - - - - - - - - - - - - - - - - - - - - - - - - - - - - - - - - - - - - - - - - - - - - - - - - - - 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52">
    <mergeCell ref="G81:H81"/>
    <mergeCell ref="C6:D6"/>
    <mergeCell ref="B40:H40"/>
    <mergeCell ref="B60:D60"/>
    <mergeCell ref="F76:H76"/>
    <mergeCell ref="A77:H77"/>
    <mergeCell ref="F110:H110"/>
    <mergeCell ref="F85:H85"/>
    <mergeCell ref="A20:D20"/>
    <mergeCell ref="B3:F3"/>
    <mergeCell ref="A107:B107"/>
    <mergeCell ref="C107:D107"/>
    <mergeCell ref="A1:E1"/>
    <mergeCell ref="B64:H64"/>
    <mergeCell ref="B111:H112"/>
    <mergeCell ref="E8:F8"/>
    <mergeCell ref="A7:B7"/>
    <mergeCell ref="G57:H57"/>
    <mergeCell ref="A56:B56"/>
    <mergeCell ref="B90:H90"/>
    <mergeCell ref="C56:D56"/>
    <mergeCell ref="C105:D105"/>
    <mergeCell ref="B53:F53"/>
    <mergeCell ref="E105:F105"/>
    <mergeCell ref="A70:D70"/>
    <mergeCell ref="A26:E26"/>
    <mergeCell ref="B18:H18"/>
    <mergeCell ref="A33:B33"/>
    <mergeCell ref="B28:F28"/>
    <mergeCell ref="F1:H1"/>
    <mergeCell ref="G108:H108"/>
    <mergeCell ref="G58:H58"/>
    <mergeCell ref="B42:H42"/>
    <mergeCell ref="A97:H97"/>
    <mergeCell ref="F51:H51"/>
    <mergeCell ref="C83:D83"/>
    <mergeCell ref="K5:K8"/>
    <mergeCell ref="A30:B30"/>
    <mergeCell ref="E45:H45"/>
    <mergeCell ref="C30:D30"/>
    <mergeCell ref="E55:F55"/>
    <mergeCell ref="B118:H118"/>
    <mergeCell ref="C5:D5"/>
    <mergeCell ref="F35:H35"/>
    <mergeCell ref="B61:H62"/>
    <mergeCell ref="E5:F5"/>
    <mergeCell ref="F101:H101"/>
    <mergeCell ref="B15:H15"/>
    <mergeCell ref="B89:H89"/>
    <mergeCell ref="B10:D10"/>
    <mergeCell ref="G7:H7"/>
    <mergeCell ref="A27:H27"/>
    <mergeCell ref="A105:B105"/>
    <mergeCell ref="B110:D110"/>
    <mergeCell ref="B85:D85"/>
    <mergeCell ref="A2:H2"/>
    <mergeCell ref="G33:H33"/>
    <mergeCell ref="B43:H43"/>
    <mergeCell ref="A47:H47"/>
    <mergeCell ref="A8:B8"/>
    <mergeCell ref="C8:D8"/>
    <mergeCell ref="A22:H22"/>
    <mergeCell ref="A122:H122"/>
    <mergeCell ref="B17:H17"/>
    <mergeCell ref="C82:D82"/>
    <mergeCell ref="A72:H72"/>
    <mergeCell ref="C57:D57"/>
    <mergeCell ref="E58:F58"/>
    <mergeCell ref="A83:B83"/>
    <mergeCell ref="C108:D108"/>
    <mergeCell ref="B68:H68"/>
    <mergeCell ref="C58:D58"/>
    <mergeCell ref="B92:H92"/>
    <mergeCell ref="F26:H26"/>
    <mergeCell ref="E83:F83"/>
    <mergeCell ref="B86:H87"/>
    <mergeCell ref="E107:F107"/>
    <mergeCell ref="A80:B80"/>
    <mergeCell ref="C31:D31"/>
    <mergeCell ref="C80:D80"/>
    <mergeCell ref="E31:F31"/>
    <mergeCell ref="A55:B55"/>
    <mergeCell ref="A45:D45"/>
    <mergeCell ref="E6:F6"/>
    <mergeCell ref="F60:H60"/>
    <mergeCell ref="E108:F108"/>
    <mergeCell ref="A57:B57"/>
    <mergeCell ref="B35:D35"/>
    <mergeCell ref="E80:F80"/>
    <mergeCell ref="A5:B5"/>
    <mergeCell ref="E20:H20"/>
    <mergeCell ref="A32:B32"/>
    <mergeCell ref="B39:H39"/>
    <mergeCell ref="G80:H80"/>
    <mergeCell ref="A106:B106"/>
    <mergeCell ref="C106:D106"/>
    <mergeCell ref="E57:F57"/>
    <mergeCell ref="C32:D32"/>
    <mergeCell ref="C7:D7"/>
    <mergeCell ref="A120:D120"/>
    <mergeCell ref="E32:F32"/>
    <mergeCell ref="E7:F7"/>
    <mergeCell ref="G32:H32"/>
    <mergeCell ref="E81:F81"/>
    <mergeCell ref="G106:H106"/>
    <mergeCell ref="A102:H102"/>
    <mergeCell ref="E95:H95"/>
    <mergeCell ref="E56:F56"/>
    <mergeCell ref="G56:H56"/>
    <mergeCell ref="J5:J8"/>
    <mergeCell ref="G105:H105"/>
    <mergeCell ref="E70:H70"/>
    <mergeCell ref="A82:B82"/>
    <mergeCell ref="E106:F106"/>
    <mergeCell ref="C33:D33"/>
    <mergeCell ref="B65:H65"/>
    <mergeCell ref="E33:F33"/>
    <mergeCell ref="A51:E51"/>
    <mergeCell ref="E120:H120"/>
    <mergeCell ref="G107:H107"/>
    <mergeCell ref="G8:H8"/>
    <mergeCell ref="B11:H12"/>
    <mergeCell ref="A6:B6"/>
    <mergeCell ref="B114:H114"/>
    <mergeCell ref="E82:F82"/>
    <mergeCell ref="G82:H82"/>
    <mergeCell ref="A108:B108"/>
    <mergeCell ref="C55:D55"/>
    <mergeCell ref="G6:H6"/>
    <mergeCell ref="B115:H115"/>
    <mergeCell ref="G83:H83"/>
    <mergeCell ref="B93:H93"/>
    <mergeCell ref="E30:F30"/>
    <mergeCell ref="A101:E101"/>
    <mergeCell ref="G30:H30"/>
    <mergeCell ref="B78:F78"/>
    <mergeCell ref="B103:F103"/>
    <mergeCell ref="B36:H37"/>
    <mergeCell ref="A76:E76"/>
    <mergeCell ref="G5:H5"/>
    <mergeCell ref="B117:H117"/>
    <mergeCell ref="B67:H67"/>
    <mergeCell ref="G55:H55"/>
    <mergeCell ref="F10:H10"/>
    <mergeCell ref="B14:H14"/>
    <mergeCell ref="A81:B81"/>
    <mergeCell ref="C81:D81"/>
    <mergeCell ref="A52:H52"/>
    <mergeCell ref="G31:H31"/>
    <mergeCell ref="A95:D95"/>
    <mergeCell ref="A31:B31"/>
    <mergeCell ref="A58:B58"/>
  </mergeCells>
  <dataValidations count="2">
    <dataValidation sqref="K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K4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"พฤษภาคม,มิถุนายน,กรกฎาคม,สิงหาคม,กันยายน,ตุลาคม,พฤศจิกายน,ธันวาคม,มกราคม,กุมภาพันธ์,มีนาคม"</formula1>
    </dataValidation>
  </dataValidations>
  <hyperlinks>
    <hyperlink ref="J17" location="'หน้าหลัก'!A1" display="🏠 กลับหน้าหลัก"/>
  </hyperlinks>
  <printOptions horizontalCentered="1"/>
  <pageMargins left="0.4" right="0.4" top="0.35" bottom="0.35" header="0.5" footer="0.5"/>
  <pageSetup orientation="portrait" paperSize="9" scale="88"/>
  <rowBreaks count="2" manualBreakCount="2">
    <brk id="50" min="0" max="16383" man="1"/>
    <brk id="100" min="0" max="16383" man="1"/>
  </rowBreaks>
</worksheet>
</file>

<file path=xl/worksheets/sheet41.xml><?xml version="1.0" encoding="utf-8"?>
<worksheet xmlns="http://schemas.openxmlformats.org/spreadsheetml/2006/main">
  <sheetPr>
    <tabColor rgb="008DB456"/>
    <outlinePr summaryBelow="1" summaryRight="1"/>
    <pageSetUpPr fitToPage="1"/>
  </sheetPr>
  <dimension ref="A1:T18"/>
  <sheetViews>
    <sheetView tabSelected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6" customWidth="1" min="3" max="3"/>
    <col width="11" customWidth="1" min="4" max="4"/>
    <col width="15" customWidth="1" min="5" max="5"/>
    <col width="14" customWidth="1" min="6" max="6"/>
    <col width="13" customWidth="1" min="7" max="7"/>
    <col width="7" customWidth="1" min="8" max="8"/>
    <col width="12" customWidth="1" min="9" max="9"/>
    <col width="13" customWidth="1" min="10" max="10"/>
    <col width="15" customWidth="1" min="11" max="11"/>
    <col width="7" customWidth="1" min="12" max="12"/>
    <col width="12" customWidth="1" min="13" max="13"/>
    <col width="12" customWidth="1" min="14" max="14"/>
    <col width="12" customWidth="1" min="15" max="15"/>
    <col width="12" customWidth="1" min="16" max="16"/>
    <col width="24" customWidth="1" min="17" max="17"/>
    <col width="24" customWidth="1" min="18" max="18"/>
    <col width="18" customWidth="1" min="19" max="19"/>
    <col width="11" customWidth="1" min="20" max="20"/>
  </cols>
  <sheetData>
    <row r="1" ht="48" customHeight="1">
      <c r="A1" s="789" t="inlineStr">
        <is>
          <t>🏠</t>
        </is>
      </c>
      <c r="B1" s="790" t="n"/>
      <c r="C1" s="790" t="n"/>
      <c r="D1" s="790" t="n"/>
      <c r="E1" s="790" t="n"/>
      <c r="F1" s="790" t="n"/>
      <c r="G1" s="790" t="n"/>
      <c r="H1" s="790" t="n"/>
      <c r="I1" s="790" t="n"/>
      <c r="J1" s="790" t="n"/>
      <c r="K1" s="790" t="n"/>
      <c r="L1" s="790" t="n"/>
      <c r="M1" s="790" t="n"/>
      <c r="N1" s="790" t="n"/>
      <c r="O1" s="790" t="n"/>
      <c r="P1" s="790" t="n"/>
      <c r="Q1" s="790" t="n"/>
      <c r="R1" s="790" t="n"/>
      <c r="S1" s="790" t="n"/>
      <c r="T1" s="790" t="n"/>
    </row>
    <row r="2" ht="20" customHeight="1">
      <c r="A2" s="791" t="inlineStr">
        <is>
          <t>หน้าหลัก</t>
        </is>
      </c>
      <c r="B2" s="79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793" t="n"/>
      <c r="D2" s="793" t="n"/>
      <c r="E2" s="793" t="n"/>
      <c r="F2" s="793" t="n"/>
      <c r="G2" s="793" t="n"/>
      <c r="H2" s="793" t="n"/>
      <c r="I2" s="793" t="n"/>
      <c r="J2" s="793" t="n"/>
      <c r="K2" s="793" t="n"/>
      <c r="L2" s="793" t="n"/>
      <c r="M2" s="793" t="n"/>
      <c r="N2" s="793" t="n"/>
      <c r="O2" s="793" t="n"/>
      <c r="P2" s="793" t="n"/>
      <c r="Q2" s="793" t="n"/>
      <c r="R2" s="793" t="n"/>
      <c r="S2" s="793" t="n"/>
      <c r="T2" s="793" t="n"/>
    </row>
    <row r="3">
      <c r="B3" s="794">
        <f>"เยี่ยมแล้ว "&amp;COUNTIF(T9:T13,"✓ เยี่ยมแล้ว")&amp;" จาก "&amp;COUNTIF(B9:B13,"?*")&amp;" คน   ("&amp;TEXT(IFERROR(COUNTIF(T9:T13,"✓ เยี่ยมแล้ว")/COUNTIF(B9:B13,"?*"),0),"0%")&amp;")   •   พิมพ์แบบฟอร์มรายคนได้ที่หน้า “พิมพ์เยี่ยมบ้าน”"</f>
        <v/>
      </c>
    </row>
    <row r="4"/>
    <row r="5">
      <c r="A5" s="795" t="inlineStr">
        <is>
          <t>เลขที่</t>
        </is>
      </c>
      <c r="B5" s="795" t="inlineStr">
        <is>
          <t>ชื่อ - สกุล</t>
        </is>
      </c>
      <c r="C5" s="796" t="inlineStr">
        <is>
          <t>วันที่
เยี่ยม</t>
        </is>
      </c>
      <c r="D5" s="796" t="inlineStr">
        <is>
          <t>เดือน</t>
        </is>
      </c>
      <c r="E5" s="796" t="inlineStr">
        <is>
          <t>ครูผู้เยี่ยม</t>
        </is>
      </c>
      <c r="F5" s="796" t="inlineStr">
        <is>
          <t>ผู้ให้ข้อมูล</t>
        </is>
      </c>
      <c r="G5" s="796" t="inlineStr">
        <is>
          <t>อาศัยอยู่กับ</t>
        </is>
      </c>
      <c r="H5" s="796" t="inlineStr">
        <is>
          <t>สมาชิก
ในบ้าน
(คน)</t>
        </is>
      </c>
      <c r="I5" s="796" t="inlineStr">
        <is>
          <t>ที่อยู่อาศัย</t>
        </is>
      </c>
      <c r="J5" s="796" t="inlineStr">
        <is>
          <t>อาชีพผู้ปกครอง</t>
        </is>
      </c>
      <c r="K5" s="796" t="inlineStr">
        <is>
          <t>รายได้ครอบครัว
/ เดือน</t>
        </is>
      </c>
      <c r="L5" s="796" t="inlineStr">
        <is>
          <t>ระยะทาง
(กม.)</t>
        </is>
      </c>
      <c r="M5" s="796" t="inlineStr">
        <is>
          <t>การเดินทาง</t>
        </is>
      </c>
      <c r="N5" s="796" t="inlineStr">
        <is>
          <t>สภาพแวดล้อม
รอบบ้าน</t>
        </is>
      </c>
      <c r="O5" s="796" t="inlineStr">
        <is>
          <t>ความสัมพันธ์
ในครอบครัว</t>
        </is>
      </c>
      <c r="P5" s="796" t="inlineStr">
        <is>
          <t>การดูแล
การเรียนที่บ้าน</t>
        </is>
      </c>
      <c r="Q5" s="796" t="inlineStr">
        <is>
          <t>ความต้องการ / สิ่งที่
ขอรับการช่วยเหลือ</t>
        </is>
      </c>
      <c r="R5" s="796" t="inlineStr">
        <is>
          <t>ข้อเสนอแนะของครู</t>
        </is>
      </c>
      <c r="S5" s="796" t="inlineStr">
        <is>
          <t>ลิงก์แผนที่บ้าน
(Google Maps)</t>
        </is>
      </c>
      <c r="T5" s="797" t="inlineStr">
        <is>
          <t>สถานะ</t>
        </is>
      </c>
    </row>
    <row r="6"/>
    <row r="7"/>
    <row r="8"/>
    <row r="9" ht="18" customHeight="1">
      <c r="A9" s="218" t="n">
        <v>1</v>
      </c>
      <c r="B9" s="219">
        <f>'ข้อมูลนักเรียน'!T9</f>
        <v/>
      </c>
      <c r="C9" s="221" t="n"/>
      <c r="D9" s="221" t="n"/>
      <c r="E9" s="223" t="n"/>
      <c r="F9" s="223" t="n"/>
      <c r="G9" s="221" t="n"/>
      <c r="H9" s="221" t="n"/>
      <c r="I9" s="221" t="n"/>
      <c r="J9" s="223" t="n"/>
      <c r="K9" s="221" t="n"/>
      <c r="L9" s="221" t="n"/>
      <c r="M9" s="221" t="n"/>
      <c r="N9" s="221" t="n"/>
      <c r="O9" s="221" t="n"/>
      <c r="P9" s="221" t="n"/>
      <c r="Q9" s="351" t="n"/>
      <c r="R9" s="351" t="n"/>
      <c r="S9" s="223" t="n"/>
      <c r="T9" s="232">
        <f>IF(B9="","",IF(AND(C9&lt;&gt;"",D9&lt;&gt;""),"✓ เยี่ยมแล้ว","ยังไม่เยี่ยม"))</f>
        <v/>
      </c>
    </row>
    <row r="10" ht="18" customHeight="1">
      <c r="A10" s="226" t="n">
        <v>2</v>
      </c>
      <c r="B10" s="227">
        <f>'ข้อมูลนักเรียน'!T10</f>
        <v/>
      </c>
      <c r="C10" s="221" t="n"/>
      <c r="D10" s="221" t="n"/>
      <c r="E10" s="223" t="n"/>
      <c r="F10" s="223" t="n"/>
      <c r="G10" s="221" t="n"/>
      <c r="H10" s="221" t="n"/>
      <c r="I10" s="221" t="n"/>
      <c r="J10" s="223" t="n"/>
      <c r="K10" s="221" t="n"/>
      <c r="L10" s="221" t="n"/>
      <c r="M10" s="221" t="n"/>
      <c r="N10" s="221" t="n"/>
      <c r="O10" s="221" t="n"/>
      <c r="P10" s="221" t="n"/>
      <c r="Q10" s="351" t="n"/>
      <c r="R10" s="351" t="n"/>
      <c r="S10" s="223" t="n"/>
      <c r="T10" s="232">
        <f>IF(B10="","",IF(AND(C10&lt;&gt;"",D10&lt;&gt;""),"✓ เยี่ยมแล้ว","ยังไม่เยี่ยม"))</f>
        <v/>
      </c>
    </row>
    <row r="11" ht="18" customHeight="1">
      <c r="A11" s="218" t="n">
        <v>3</v>
      </c>
      <c r="B11" s="219">
        <f>'ข้อมูลนักเรียน'!T11</f>
        <v/>
      </c>
      <c r="C11" s="221" t="n"/>
      <c r="D11" s="221" t="n"/>
      <c r="E11" s="223" t="n"/>
      <c r="F11" s="223" t="n"/>
      <c r="G11" s="221" t="n"/>
      <c r="H11" s="221" t="n"/>
      <c r="I11" s="221" t="n"/>
      <c r="J11" s="223" t="n"/>
      <c r="K11" s="221" t="n"/>
      <c r="L11" s="221" t="n"/>
      <c r="M11" s="221" t="n"/>
      <c r="N11" s="221" t="n"/>
      <c r="O11" s="221" t="n"/>
      <c r="P11" s="221" t="n"/>
      <c r="Q11" s="351" t="n"/>
      <c r="R11" s="351" t="n"/>
      <c r="S11" s="223" t="n"/>
      <c r="T11" s="232">
        <f>IF(B11="","",IF(AND(C11&lt;&gt;"",D11&lt;&gt;""),"✓ เยี่ยมแล้ว","ยังไม่เยี่ยม"))</f>
        <v/>
      </c>
    </row>
    <row r="12" ht="18" customHeight="1">
      <c r="A12" s="226" t="n">
        <v>4</v>
      </c>
      <c r="B12" s="227">
        <f>'ข้อมูลนักเรียน'!T12</f>
        <v/>
      </c>
      <c r="C12" s="221" t="n"/>
      <c r="D12" s="221" t="n"/>
      <c r="E12" s="223" t="n"/>
      <c r="F12" s="223" t="n"/>
      <c r="G12" s="221" t="n"/>
      <c r="H12" s="221" t="n"/>
      <c r="I12" s="221" t="n"/>
      <c r="J12" s="223" t="n"/>
      <c r="K12" s="221" t="n"/>
      <c r="L12" s="221" t="n"/>
      <c r="M12" s="221" t="n"/>
      <c r="N12" s="221" t="n"/>
      <c r="O12" s="221" t="n"/>
      <c r="P12" s="221" t="n"/>
      <c r="Q12" s="351" t="n"/>
      <c r="R12" s="351" t="n"/>
      <c r="S12" s="223" t="n"/>
      <c r="T12" s="232">
        <f>IF(B12="","",IF(AND(C12&lt;&gt;"",D12&lt;&gt;""),"✓ เยี่ยมแล้ว","ยังไม่เยี่ยม"))</f>
        <v/>
      </c>
    </row>
    <row r="13" ht="18" customHeight="1">
      <c r="A13" s="218" t="n">
        <v>5</v>
      </c>
      <c r="B13" s="219">
        <f>'ข้อมูลนักเรียน'!T13</f>
        <v/>
      </c>
      <c r="C13" s="221" t="n"/>
      <c r="D13" s="221" t="n"/>
      <c r="E13" s="223" t="n"/>
      <c r="F13" s="223" t="n"/>
      <c r="G13" s="221" t="n"/>
      <c r="H13" s="221" t="n"/>
      <c r="I13" s="221" t="n"/>
      <c r="J13" s="223" t="n"/>
      <c r="K13" s="221" t="n"/>
      <c r="L13" s="221" t="n"/>
      <c r="M13" s="221" t="n"/>
      <c r="N13" s="221" t="n"/>
      <c r="O13" s="221" t="n"/>
      <c r="P13" s="221" t="n"/>
      <c r="Q13" s="351" t="n"/>
      <c r="R13" s="351" t="n"/>
      <c r="S13" s="223" t="n"/>
      <c r="T13" s="232">
        <f>IF(B13="","",IF(AND(C13&lt;&gt;"",D13&lt;&gt;""),"✓ เยี่ยมแล้ว","ยังไม่เยี่ยม"))</f>
        <v/>
      </c>
    </row>
    <row r="14"/>
    <row r="15"/>
    <row r="16">
      <c r="B16" s="246" t="inlineStr">
        <is>
          <t>ลงชื่อ ........................................................</t>
        </is>
      </c>
      <c r="Q16" s="246" t="inlineStr">
        <is>
          <t>ลงชื่อ ........................................................</t>
        </is>
      </c>
    </row>
    <row r="17">
      <c r="B17" s="246">
        <f>"( "&amp;IF('ข้อมูลโรงเรียน'!$C$9="","..................................................",'ข้อมูลโรงเรียน'!$C$9)&amp;" )"</f>
        <v/>
      </c>
      <c r="Q17" s="246">
        <f>"( "&amp;IF('ข้อมูลโรงเรียน'!$C$11="","..................................................",'ข้อมูลโรงเรียน'!$C$11)&amp;" )"</f>
        <v/>
      </c>
    </row>
    <row r="18">
      <c r="B18" s="277" t="inlineStr">
        <is>
          <t>ครูประจำชั้น</t>
        </is>
      </c>
      <c r="Q18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0">
    <mergeCell ref="K5:K8"/>
    <mergeCell ref="C5:C8"/>
    <mergeCell ref="M5:M8"/>
    <mergeCell ref="O5:O8"/>
    <mergeCell ref="E5:E8"/>
    <mergeCell ref="Q5:Q8"/>
    <mergeCell ref="F5:F8"/>
    <mergeCell ref="L5:L8"/>
    <mergeCell ref="G5:G8"/>
    <mergeCell ref="N5:N8"/>
    <mergeCell ref="I5:I8"/>
    <mergeCell ref="A5:A8"/>
    <mergeCell ref="S5:S8"/>
    <mergeCell ref="D5:D8"/>
    <mergeCell ref="B5:B8"/>
    <mergeCell ref="H5:H8"/>
    <mergeCell ref="P5:P8"/>
    <mergeCell ref="R5:R8"/>
    <mergeCell ref="T5:T8"/>
    <mergeCell ref="J5:J8"/>
  </mergeCells>
  <conditionalFormatting sqref="A9:LH13">
    <cfRule type="expression" priority="1" dxfId="0" stopIfTrue="1">
      <formula>$B9=""</formula>
    </cfRule>
  </conditionalFormatting>
  <conditionalFormatting sqref="T9:T13">
    <cfRule type="expression" priority="2" dxfId="2">
      <formula>LEFT(T9,1)="✓"</formula>
    </cfRule>
    <cfRule type="expression" priority="3" dxfId="21">
      <formula>T9="ยังไม่เยี่ยม"</formula>
    </cfRule>
  </conditionalFormatting>
  <conditionalFormatting sqref="K9:K13">
    <cfRule type="expression" priority="4" dxfId="1">
      <formula>K9="ต่ำกว่า 5,000 บาท"</formula>
    </cfRule>
  </conditionalFormatting>
  <conditionalFormatting sqref="N9:N13">
    <cfRule type="expression" priority="5" dxfId="1">
      <formula>N9="มีความเสี่ยง"</formula>
    </cfRule>
  </conditionalFormatting>
  <conditionalFormatting sqref="O9:O13">
    <cfRule type="expression" priority="6" dxfId="1">
      <formula>O9="มีปัญหา"</formula>
    </cfRule>
  </conditionalFormatting>
  <conditionalFormatting sqref="P9:P13">
    <cfRule type="expression" priority="7" dxfId="1">
      <formula>P9="ควรส่งเสริม"</formula>
    </cfRule>
  </conditionalFormatting>
  <dataValidations count="9">
    <dataValidation sqref="G9:G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"พ่อและแม่,พ่อหรือแม่,ปู่ย่า / ตายาย,ญาติ,อื่น ๆ"</formula1>
    </dataValidation>
    <dataValidation sqref="I9:I13" showDropDown="0" showInputMessage="0" showErrorMessage="0" allowBlank="1" errorTitle="ตรวจสอบข้อมูล" error="ข้อมูลไม่ถูกต้อง กรุณาเลือกจากรายการ" type="list">
      <formula1>"บ้านตนเอง,บ้านเช่า,อาศัยผู้อื่น,หอพัก/ห้องเช่า,อื่น ๆ"</formula1>
    </dataValidation>
    <dataValidation sqref="K9:K13" showDropDown="0" showInputMessage="0" showErrorMessage="0" allowBlank="1" errorTitle="ตรวจสอบข้อมูล" error="ข้อมูลไม่ถูกต้อง กรุณาเลือกจากรายการ" type="list">
      <formula1>"ต่ำกว่า 5,000 บาท,5,000 - 10,000 บาท,10,001 - 20,000 บาท,20,001 - 40,000 บาท,มากกว่า 40,000 บาท"</formula1>
    </dataValidation>
    <dataValidation sqref="M9:M13" showDropDown="0" showInputMessage="0" showErrorMessage="0" allowBlank="1" errorTitle="ตรวจสอบข้อมูล" error="ข้อมูลไม่ถูกต้อง กรุณาเลือกจากรายการ" type="list">
      <formula1>"เดิน,จักรยานยนต์,รถยนต์,รถรับ-ส่ง,อื่น ๆ"</formula1>
    </dataValidation>
    <dataValidation sqref="N9:N13" showDropDown="0" showInputMessage="0" showErrorMessage="0" allowBlank="1" errorTitle="ตรวจสอบข้อมูล" error="ข้อมูลไม่ถูกต้อง กรุณาเลือกจากรายการ" type="list">
      <formula1>"ปลอดภัย,มีความเสี่ยง"</formula1>
    </dataValidation>
    <dataValidation sqref="O9:O13" showDropDown="0" showInputMessage="0" showErrorMessage="0" allowBlank="1" errorTitle="ตรวจสอบข้อมูล" error="ข้อมูลไม่ถูกต้อง กรุณาเลือกจากรายการ" type="list">
      <formula1>"อบอุ่น,ปกติ,มีปัญหา"</formula1>
    </dataValidation>
    <dataValidation sqref="P9:P13" showDropDown="0" showInputMessage="0" showErrorMessage="0" allowBlank="1" errorTitle="ตรวจสอบข้อมูล" error="ข้อมูลไม่ถูกต้อง กรุณาเลือกจากรายการ" type="list">
      <formula1>"ดี,พอใช้,ควรส่งเสริม"</formula1>
    </dataValidation>
    <dataValidation sqref="C9:C1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D9:D13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"พฤษภาคม,มิถุนายน,กรกฎาคม,สิงหาคม,กันยายน,ตุลาคม,พฤศจิกายน,ธันวาคม,มกราคม,กุมภาพันธ์,มีนาคม,เมษายน"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tabColor rgb="008DB456"/>
    <outlinePr summaryBelow="1" summaryRight="1"/>
    <pageSetUpPr fitToPage="1"/>
  </sheetPr>
  <dimension ref="A1:K48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3" customWidth="1" min="9" max="9"/>
    <col width="14" customWidth="1" min="10" max="10"/>
    <col width="26" customWidth="1" min="11" max="11"/>
  </cols>
  <sheetData>
    <row r="1" ht="26" customHeight="1">
      <c r="A1" s="798" t="inlineStr">
        <is>
          <t>แบบบันทึกการเยี่ยมบ้านนักเรียน</t>
        </is>
      </c>
      <c r="J1" s="799" t="inlineStr">
        <is>
          <t>เลือกนักเรียน</t>
        </is>
      </c>
    </row>
    <row r="2">
      <c r="A2" s="800">
        <f>"โรงเรียน"&amp;'ข้อมูลโรงเรียน'!$C$5&amp;IF('ข้อมูลโรงเรียน'!$C$6="",""," • "&amp;'ข้อมูลโรงเรียน'!$C$6)</f>
        <v/>
      </c>
    </row>
    <row r="3">
      <c r="A3" s="801">
        <f>"ชั้น"&amp;'ข้อมูลโรงเรียน'!$C$7&amp;"/"&amp;'ข้อมูลโรงเรียน'!$C$8&amp;"   ปีการศึกษา "&amp;'ข้อมูลโรงเรียน'!$C$12</f>
        <v/>
      </c>
      <c r="J3" s="802" t="inlineStr">
        <is>
          <t>เลขที่</t>
        </is>
      </c>
      <c r="K3" s="803" t="n">
        <v>1</v>
      </c>
    </row>
    <row r="4">
      <c r="J4" s="802" t="inlineStr">
        <is>
          <t>ชื่อ</t>
        </is>
      </c>
      <c r="K4" s="804">
        <f>INDEX('ข้อมูลนักเรียน'!$T$9:$T$13,$K$3)&amp;""</f>
        <v/>
      </c>
    </row>
    <row r="5" ht="18" customHeight="1">
      <c r="A5" s="805" t="inlineStr">
        <is>
          <t xml:space="preserve">  1. ข้อมูลนักเรียน</t>
        </is>
      </c>
      <c r="B5" s="131" t="n"/>
      <c r="C5" s="131" t="n"/>
      <c r="D5" s="131" t="n"/>
      <c r="E5" s="131" t="n"/>
      <c r="F5" s="131" t="n"/>
      <c r="G5" s="131" t="n"/>
      <c r="H5" s="131" t="n"/>
    </row>
    <row r="6" ht="18" customHeight="1">
      <c r="A6" s="806" t="inlineStr">
        <is>
          <t>ชื่อ - สกุล</t>
        </is>
      </c>
      <c r="B6" s="807">
        <f>INDEX('ข้อมูลนักเรียน'!$T$9:$T$13,$K$3)&amp;""</f>
        <v/>
      </c>
      <c r="C6" s="184" t="n"/>
      <c r="D6" s="184" t="n"/>
      <c r="E6" s="184" t="n"/>
      <c r="F6" s="806" t="inlineStr">
        <is>
          <t>ชื่อเล่น</t>
        </is>
      </c>
      <c r="G6" s="807">
        <f>INDEX('ข้อมูลนักเรียน'!$G$9:$G$13,$K$3)&amp;""</f>
        <v/>
      </c>
      <c r="J6" s="189" t="inlineStr">
        <is>
          <t>เปลี่ยนเลขที่ แล้วกด Ctrl + P</t>
        </is>
      </c>
    </row>
    <row r="7" ht="18" customHeight="1">
      <c r="A7" s="806" t="inlineStr">
        <is>
          <t>วันเกิด</t>
        </is>
      </c>
      <c r="B7" s="807">
        <f>IF(INDEX('ข้อมูลนักเรียน'!$S$9:$S$13,$K$3)="","",DAY(INDEX('ข้อมูลนักเรียน'!$S$9:$S$13,$K$3))&amp;" "&amp;CHOOSE(MONTH(INDEX('ข้อมูลนักเรียน'!$S$9:$S$13,$K$3)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"&amp;(YEAR(INDEX('ข้อมูลนักเรียน'!$S$9:$S$13,$K$3))+543))</f>
        <v/>
      </c>
      <c r="C7" s="184" t="n"/>
      <c r="D7" s="806" t="inlineStr">
        <is>
          <t>อายุ</t>
        </is>
      </c>
      <c r="E7" s="807">
        <f>INDEX('ข้อมูลนักเรียน'!$K$9:$K$13,$K$3)&amp;""</f>
        <v/>
      </c>
      <c r="F7" s="806" t="inlineStr">
        <is>
          <t>เลขที่</t>
        </is>
      </c>
      <c r="G7" s="807">
        <f>$K$3</f>
        <v/>
      </c>
      <c r="J7" s="189" t="inlineStr">
        <is>
          <t>พิมพ์ว่าง (ไม่ใส่ข้อมูล) ไว้กรอกมือ:</t>
        </is>
      </c>
    </row>
    <row r="8" ht="18" customHeight="1">
      <c r="A8" s="806" t="inlineStr">
        <is>
          <t>ผู้ปกครอง</t>
        </is>
      </c>
      <c r="B8" s="807">
        <f>INDEX('ข้อมูลนักเรียน'!$N$9:$N$13,$K$3)&amp;IF(INDEX('ข้อมูลนักเรียน'!$O$9:$O$13,$K$3)="",""," ("&amp;INDEX('ข้อมูลนักเรียน'!$O$9:$O$13,$K$3)&amp;")")</f>
        <v/>
      </c>
      <c r="C8" s="184" t="n"/>
      <c r="D8" s="184" t="n"/>
      <c r="E8" s="184" t="n"/>
      <c r="F8" s="806" t="inlineStr">
        <is>
          <t>โทรศัพท์</t>
        </is>
      </c>
      <c r="G8" s="807">
        <f>INDEX('ข้อมูลนักเรียน'!$P$9:$P$13,$K$3)&amp;""</f>
        <v/>
      </c>
      <c r="J8" s="189" t="inlineStr">
        <is>
          <t>ใส่เลขที่ที่ยังไม่มีชื่อ เช่น 40</t>
        </is>
      </c>
    </row>
    <row r="9" ht="18" customHeight="1">
      <c r="A9" s="806" t="inlineStr">
        <is>
          <t>ที่อยู่</t>
        </is>
      </c>
      <c r="B9" s="807">
        <f>INDEX('ข้อมูลนักเรียน'!$Q$9:$Q$13,$K$3)&amp;""</f>
        <v/>
      </c>
      <c r="C9" s="184" t="n"/>
      <c r="D9" s="184" t="n"/>
      <c r="E9" s="184" t="n"/>
      <c r="F9" s="184" t="n"/>
      <c r="G9" s="184" t="n"/>
      <c r="H9" s="184" t="n"/>
    </row>
    <row r="10">
      <c r="J10" s="808" t="inlineStr">
        <is>
          <t>🏠 กลับหน้าหลัก</t>
        </is>
      </c>
    </row>
    <row r="11" ht="18" customHeight="1">
      <c r="A11" s="805" t="inlineStr">
        <is>
          <t xml:space="preserve">  2. การเยี่ยมบ้าน</t>
        </is>
      </c>
      <c r="B11" s="131" t="n"/>
      <c r="C11" s="131" t="n"/>
      <c r="D11" s="131" t="n"/>
      <c r="E11" s="131" t="n"/>
      <c r="F11" s="131" t="n"/>
      <c r="G11" s="131" t="n"/>
      <c r="H11" s="131" t="n"/>
    </row>
    <row r="12" ht="18" customHeight="1">
      <c r="A12" s="806" t="inlineStr">
        <is>
          <t>วันที่เยี่ยม</t>
        </is>
      </c>
      <c r="B12" s="807">
        <f>IF(OR(INDEX('เยี่ยมบ้าน'!$C$9:$C$13,$K$3)="",INDEX('เยี่ยมบ้าน'!$D$9:$D$13,$K$3)=""),"",INDEX('เยี่ยมบ้าน'!$C$9:$C$13,$K$3)&amp;" "&amp;INDEX('เยี่ยมบ้าน'!$D$9:$D$13,$K$3)&amp;" "&amp;(IF(MATCH(INDEX('เยี่ยมบ้าน'!$D$9:$D$13,$K$3),{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},0)&gt;=5,'ข้อมูลโรงเรียน'!$C$12,'ข้อมูลโรงเรียน'!$C$12+1)))</f>
        <v/>
      </c>
      <c r="C12" s="184" t="n"/>
      <c r="D12" s="806" t="inlineStr">
        <is>
          <t>ครูผู้เยี่ยม</t>
        </is>
      </c>
      <c r="E12" s="807">
        <f>INDEX('เยี่ยมบ้าน'!$E$9:$E$13,$K$3)&amp;""</f>
        <v/>
      </c>
      <c r="F12" s="184" t="n"/>
      <c r="G12" s="184" t="n"/>
    </row>
    <row r="13" ht="18" customHeight="1">
      <c r="A13" s="806" t="inlineStr">
        <is>
          <t>ผู้ให้ข้อมูล</t>
        </is>
      </c>
      <c r="B13" s="807">
        <f>INDEX('เยี่ยมบ้าน'!$F$9:$F$13,$K$3)&amp;""</f>
        <v/>
      </c>
      <c r="C13" s="184" t="n"/>
      <c r="D13" s="806" t="inlineStr">
        <is>
          <t>แผนที่บ้าน</t>
        </is>
      </c>
      <c r="E13" s="807">
        <f>INDEX('เยี่ยมบ้าน'!$S$9:$S$13,$K$3)&amp;""</f>
        <v/>
      </c>
      <c r="F13" s="184" t="n"/>
      <c r="G13" s="184" t="n"/>
    </row>
    <row r="14"/>
    <row r="15" ht="18" customHeight="1">
      <c r="A15" s="805" t="inlineStr">
        <is>
          <t xml:space="preserve">  3. ข้อมูลครอบครัวและที่อยู่อาศัย</t>
        </is>
      </c>
      <c r="B15" s="131" t="n"/>
      <c r="C15" s="131" t="n"/>
      <c r="D15" s="131" t="n"/>
      <c r="E15" s="131" t="n"/>
      <c r="F15" s="131" t="n"/>
      <c r="G15" s="131" t="n"/>
      <c r="H15" s="131" t="n"/>
    </row>
    <row r="16" ht="18" customHeight="1">
      <c r="A16" s="806" t="inlineStr">
        <is>
          <t>อาศัยอยู่กับ</t>
        </is>
      </c>
      <c r="B16" s="807">
        <f>INDEX('เยี่ยมบ้าน'!$G$9:$G$13,$K$3)&amp;""</f>
        <v/>
      </c>
      <c r="C16" s="184" t="n"/>
      <c r="D16" s="806" t="inlineStr">
        <is>
          <t>สมาชิกในบ้าน</t>
        </is>
      </c>
      <c r="E16" s="807">
        <f>IF(INDEX('เยี่ยมบ้าน'!$H$9:$H$13,$K$3)="","",INDEX('เยี่ยมบ้าน'!$H$9:$H$13,$K$3)&amp;" คน")</f>
        <v/>
      </c>
      <c r="F16" s="184" t="n"/>
      <c r="G16" s="184" t="n"/>
    </row>
    <row r="17" ht="18" customHeight="1">
      <c r="A17" s="806" t="inlineStr">
        <is>
          <t>ที่อยู่อาศัย</t>
        </is>
      </c>
      <c r="B17" s="807">
        <f>INDEX('เยี่ยมบ้าน'!$I$9:$I$13,$K$3)&amp;""</f>
        <v/>
      </c>
      <c r="C17" s="184" t="n"/>
      <c r="D17" s="806" t="inlineStr">
        <is>
          <t>อาชีพผู้ปกครอง</t>
        </is>
      </c>
      <c r="E17" s="807">
        <f>INDEX('เยี่ยมบ้าน'!$J$9:$J$13,$K$3)&amp;""</f>
        <v/>
      </c>
      <c r="F17" s="184" t="n"/>
      <c r="G17" s="184" t="n"/>
    </row>
    <row r="18" ht="18" customHeight="1">
      <c r="A18" s="806" t="inlineStr">
        <is>
          <t>รายได้ / เดือน</t>
        </is>
      </c>
      <c r="B18" s="807">
        <f>INDEX('เยี่ยมบ้าน'!$K$9:$K$13,$K$3)&amp;""</f>
        <v/>
      </c>
      <c r="C18" s="184" t="n"/>
      <c r="D18" s="806" t="inlineStr">
        <is>
          <t>การเดินทาง</t>
        </is>
      </c>
      <c r="E18" s="807">
        <f>INDEX('เยี่ยมบ้าน'!$M$9:$M$13,$K$3)&amp;IF(INDEX('เยี่ยมบ้าน'!$L$9:$L$13,$K$3)="",""," (ระยะทาง "&amp;INDEX('เยี่ยมบ้าน'!$L$9:$L$13,$K$3)&amp;" กม.)")</f>
        <v/>
      </c>
      <c r="F18" s="184" t="n"/>
      <c r="G18" s="184" t="n"/>
    </row>
    <row r="19"/>
    <row r="20" ht="18" customHeight="1">
      <c r="A20" s="805" t="inlineStr">
        <is>
          <t xml:space="preserve">  4. สภาพความเป็นอยู่</t>
        </is>
      </c>
      <c r="B20" s="131" t="n"/>
      <c r="C20" s="131" t="n"/>
      <c r="D20" s="131" t="n"/>
      <c r="E20" s="131" t="n"/>
      <c r="F20" s="131" t="n"/>
      <c r="G20" s="131" t="n"/>
      <c r="H20" s="131" t="n"/>
    </row>
    <row r="21" ht="18" customHeight="1">
      <c r="A21" s="806" t="inlineStr">
        <is>
          <t>สภาพแวดล้อม</t>
        </is>
      </c>
      <c r="B21" s="807">
        <f>INDEX('เยี่ยมบ้าน'!$N$9:$N$13,$K$3)&amp;""</f>
        <v/>
      </c>
      <c r="C21" s="184" t="n"/>
      <c r="D21" s="806" t="inlineStr">
        <is>
          <t>ความสัมพันธ์ในครอบครัว</t>
        </is>
      </c>
      <c r="E21" s="807">
        <f>INDEX('เยี่ยมบ้าน'!$O$9:$O$13,$K$3)&amp;""</f>
        <v/>
      </c>
      <c r="F21" s="184" t="n"/>
      <c r="G21" s="184" t="n"/>
    </row>
    <row r="22" ht="18" customHeight="1">
      <c r="A22" s="806" t="inlineStr">
        <is>
          <t>การดูแลการเรียน</t>
        </is>
      </c>
      <c r="B22" s="807">
        <f>INDEX('เยี่ยมบ้าน'!$P$9:$P$13,$K$3)&amp;""</f>
        <v/>
      </c>
      <c r="C22" s="184" t="n"/>
      <c r="D22" s="806" t="inlineStr"/>
      <c r="E22" s="807" t="inlineStr"/>
      <c r="F22" s="184" t="n"/>
      <c r="G22" s="184" t="n"/>
    </row>
    <row r="23"/>
    <row r="24" ht="18" customHeight="1">
      <c r="A24" s="805" t="inlineStr">
        <is>
          <t xml:space="preserve">  5. ความต้องการและข้อเสนอแนะ</t>
        </is>
      </c>
      <c r="B24" s="131" t="n"/>
      <c r="C24" s="131" t="n"/>
      <c r="D24" s="131" t="n"/>
      <c r="E24" s="131" t="n"/>
      <c r="F24" s="131" t="n"/>
      <c r="G24" s="131" t="n"/>
      <c r="H24" s="131" t="n"/>
    </row>
    <row r="25">
      <c r="A25" s="806" t="inlineStr">
        <is>
          <t>ความต้องการ / สิ่งที่ขอรับการช่วยเหลือ</t>
        </is>
      </c>
    </row>
    <row r="26" ht="22" customHeight="1">
      <c r="A26" s="785">
        <f>INDEX('เยี่ยมบ้าน'!$Q$9:$Q$13,$K$3)&amp;""</f>
        <v/>
      </c>
      <c r="B26" s="184" t="n"/>
      <c r="C26" s="184" t="n"/>
      <c r="D26" s="184" t="n"/>
      <c r="E26" s="184" t="n"/>
      <c r="F26" s="184" t="n"/>
      <c r="G26" s="184" t="n"/>
      <c r="H26" s="184" t="n"/>
    </row>
    <row r="27" ht="22" customHeight="1">
      <c r="A27" s="184" t="n"/>
      <c r="B27" s="184" t="n"/>
      <c r="C27" s="184" t="n"/>
      <c r="D27" s="184" t="n"/>
      <c r="E27" s="184" t="n"/>
      <c r="F27" s="184" t="n"/>
      <c r="G27" s="184" t="n"/>
      <c r="H27" s="184" t="n"/>
    </row>
    <row r="28">
      <c r="A28" s="806" t="inlineStr">
        <is>
          <t>ข้อเสนอแนะของครู</t>
        </is>
      </c>
    </row>
    <row r="29" ht="22" customHeight="1">
      <c r="A29" s="785">
        <f>INDEX('เยี่ยมบ้าน'!$R$9:$R$13,$K$3)&amp;""</f>
        <v/>
      </c>
      <c r="B29" s="184" t="n"/>
      <c r="C29" s="184" t="n"/>
      <c r="D29" s="184" t="n"/>
      <c r="E29" s="184" t="n"/>
      <c r="F29" s="184" t="n"/>
      <c r="G29" s="184" t="n"/>
      <c r="H29" s="184" t="n"/>
    </row>
    <row r="30" ht="22" customHeight="1">
      <c r="A30" s="184" t="n"/>
      <c r="B30" s="184" t="n"/>
      <c r="C30" s="184" t="n"/>
      <c r="D30" s="184" t="n"/>
      <c r="E30" s="184" t="n"/>
      <c r="F30" s="184" t="n"/>
      <c r="G30" s="184" t="n"/>
      <c r="H30" s="184" t="n"/>
    </row>
    <row r="31"/>
    <row r="32" ht="18" customHeight="1">
      <c r="A32" s="805" t="inlineStr">
        <is>
          <t xml:space="preserve">  6. ภาพถ่ายการเยี่ยมบ้าน (แนบภาพ)</t>
        </is>
      </c>
      <c r="B32" s="131" t="n"/>
      <c r="C32" s="131" t="n"/>
      <c r="D32" s="131" t="n"/>
      <c r="E32" s="131" t="n"/>
      <c r="F32" s="131" t="n"/>
      <c r="G32" s="131" t="n"/>
      <c r="H32" s="131" t="n"/>
    </row>
    <row r="33">
      <c r="A33" s="809" t="inlineStr">
        <is>
          <t>ติดภาพถ่าย / แทรกรูปภาพ</t>
        </is>
      </c>
      <c r="B33" s="184" t="n"/>
      <c r="C33" s="184" t="n"/>
      <c r="D33" s="184" t="n"/>
      <c r="E33" s="184" t="n"/>
      <c r="F33" s="184" t="n"/>
      <c r="G33" s="184" t="n"/>
      <c r="H33" s="184" t="n"/>
    </row>
    <row r="34">
      <c r="A34" s="184" t="n"/>
      <c r="B34" s="184" t="n"/>
      <c r="C34" s="184" t="n"/>
      <c r="D34" s="184" t="n"/>
      <c r="E34" s="184" t="n"/>
      <c r="F34" s="184" t="n"/>
      <c r="G34" s="184" t="n"/>
      <c r="H34" s="184" t="n"/>
    </row>
    <row r="35">
      <c r="A35" s="184" t="n"/>
      <c r="B35" s="184" t="n"/>
      <c r="C35" s="184" t="n"/>
      <c r="D35" s="184" t="n"/>
      <c r="E35" s="184" t="n"/>
      <c r="F35" s="184" t="n"/>
      <c r="G35" s="184" t="n"/>
      <c r="H35" s="184" t="n"/>
    </row>
    <row r="36">
      <c r="A36" s="184" t="n"/>
      <c r="B36" s="184" t="n"/>
      <c r="C36" s="184" t="n"/>
      <c r="D36" s="184" t="n"/>
      <c r="E36" s="184" t="n"/>
      <c r="F36" s="184" t="n"/>
      <c r="G36" s="184" t="n"/>
      <c r="H36" s="184" t="n"/>
    </row>
    <row r="37">
      <c r="A37" s="184" t="n"/>
      <c r="B37" s="184" t="n"/>
      <c r="C37" s="184" t="n"/>
      <c r="D37" s="184" t="n"/>
      <c r="E37" s="184" t="n"/>
      <c r="F37" s="184" t="n"/>
      <c r="G37" s="184" t="n"/>
      <c r="H37" s="184" t="n"/>
    </row>
    <row r="38">
      <c r="A38" s="184" t="n"/>
      <c r="B38" s="184" t="n"/>
      <c r="C38" s="184" t="n"/>
      <c r="D38" s="184" t="n"/>
      <c r="E38" s="184" t="n"/>
      <c r="F38" s="184" t="n"/>
      <c r="G38" s="184" t="n"/>
      <c r="H38" s="184" t="n"/>
    </row>
    <row r="39">
      <c r="A39" s="184" t="n"/>
      <c r="B39" s="184" t="n"/>
      <c r="C39" s="184" t="n"/>
      <c r="D39" s="184" t="n"/>
      <c r="E39" s="184" t="n"/>
      <c r="F39" s="184" t="n"/>
      <c r="G39" s="184" t="n"/>
      <c r="H39" s="184" t="n"/>
    </row>
    <row r="40">
      <c r="A40" s="184" t="n"/>
      <c r="B40" s="184" t="n"/>
      <c r="C40" s="184" t="n"/>
      <c r="D40" s="184" t="n"/>
      <c r="E40" s="184" t="n"/>
      <c r="F40" s="184" t="n"/>
      <c r="G40" s="184" t="n"/>
      <c r="H40" s="184" t="n"/>
    </row>
    <row r="41">
      <c r="A41" s="184" t="n"/>
      <c r="B41" s="184" t="n"/>
      <c r="C41" s="184" t="n"/>
      <c r="D41" s="184" t="n"/>
      <c r="E41" s="184" t="n"/>
      <c r="F41" s="184" t="n"/>
      <c r="G41" s="184" t="n"/>
      <c r="H41" s="184" t="n"/>
    </row>
    <row r="42">
      <c r="A42" s="184" t="n"/>
      <c r="B42" s="184" t="n"/>
      <c r="C42" s="184" t="n"/>
      <c r="D42" s="184" t="n"/>
      <c r="E42" s="184" t="n"/>
      <c r="F42" s="184" t="n"/>
      <c r="G42" s="184" t="n"/>
      <c r="H42" s="184" t="n"/>
    </row>
    <row r="43">
      <c r="A43" s="184" t="n"/>
      <c r="B43" s="184" t="n"/>
      <c r="C43" s="184" t="n"/>
      <c r="D43" s="184" t="n"/>
      <c r="E43" s="184" t="n"/>
      <c r="F43" s="184" t="n"/>
      <c r="G43" s="184" t="n"/>
      <c r="H43" s="184" t="n"/>
    </row>
    <row r="44">
      <c r="A44" s="184" t="n"/>
      <c r="B44" s="184" t="n"/>
      <c r="C44" s="184" t="n"/>
      <c r="D44" s="184" t="n"/>
      <c r="E44" s="184" t="n"/>
      <c r="F44" s="184" t="n"/>
      <c r="G44" s="184" t="n"/>
      <c r="H44" s="184" t="n"/>
    </row>
    <row r="45"/>
    <row r="46">
      <c r="A46" s="759" t="inlineStr">
        <is>
          <t>ลงชื่อ ..........................................</t>
        </is>
      </c>
      <c r="D46" s="759" t="inlineStr">
        <is>
          <t>ลงชื่อ ..........................................</t>
        </is>
      </c>
      <c r="G46" s="759" t="inlineStr">
        <is>
          <t>ลงชื่อ ..........................................</t>
        </is>
      </c>
    </row>
    <row r="47">
      <c r="A47" s="759">
        <f>"( "&amp;IF(INDEX('เยี่ยมบ้าน'!$E$9:$E$13,$K$3)="","..........................................",INDEX('เยี่ยมบ้าน'!$E$9:$E$13,$K$3))&amp;" )"</f>
        <v/>
      </c>
      <c r="D47" s="759">
        <f>"( "&amp;IF(INDEX('ข้อมูลนักเรียน'!$N$9:$N$13,$K$3)="","..........................................",INDEX('ข้อมูลนักเรียน'!$N$9:$N$13,$K$3))&amp;" )"</f>
        <v/>
      </c>
      <c r="G47" s="759">
        <f>"( "&amp;IF('ข้อมูลโรงเรียน'!$C$11="","..........................................",'ข้อมูลโรงเรียน'!$C$11)&amp;" )"</f>
        <v/>
      </c>
    </row>
    <row r="48">
      <c r="A48" s="760" t="inlineStr">
        <is>
          <t>ครูผู้เยี่ยมบ้าน</t>
        </is>
      </c>
      <c r="D48" s="760" t="inlineStr">
        <is>
          <t>ผู้ปกครอง</t>
        </is>
      </c>
      <c r="G48" s="760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41">
    <mergeCell ref="A48:B48"/>
    <mergeCell ref="B16:C16"/>
    <mergeCell ref="E13:G13"/>
    <mergeCell ref="B7:C7"/>
    <mergeCell ref="B9:H9"/>
    <mergeCell ref="A15:H15"/>
    <mergeCell ref="A26:H27"/>
    <mergeCell ref="A24:H24"/>
    <mergeCell ref="B6:E6"/>
    <mergeCell ref="B22:C22"/>
    <mergeCell ref="D46:E46"/>
    <mergeCell ref="A11:H11"/>
    <mergeCell ref="A1:H1"/>
    <mergeCell ref="B18:C18"/>
    <mergeCell ref="G48:H48"/>
    <mergeCell ref="B12:C12"/>
    <mergeCell ref="B21:C21"/>
    <mergeCell ref="A25:H25"/>
    <mergeCell ref="A29:H30"/>
    <mergeCell ref="A46:B46"/>
    <mergeCell ref="B17:C17"/>
    <mergeCell ref="D48:E48"/>
    <mergeCell ref="E16:G16"/>
    <mergeCell ref="B13:C13"/>
    <mergeCell ref="D47:E47"/>
    <mergeCell ref="A3:H3"/>
    <mergeCell ref="E22:G22"/>
    <mergeCell ref="A2:H2"/>
    <mergeCell ref="A47:B47"/>
    <mergeCell ref="E12:G12"/>
    <mergeCell ref="E18:G18"/>
    <mergeCell ref="A33:H44"/>
    <mergeCell ref="A5:H5"/>
    <mergeCell ref="E21:G21"/>
    <mergeCell ref="A32:H32"/>
    <mergeCell ref="B8:E8"/>
    <mergeCell ref="G47:H47"/>
    <mergeCell ref="A20:H20"/>
    <mergeCell ref="A28:H28"/>
    <mergeCell ref="E17:G17"/>
    <mergeCell ref="G46:H46"/>
  </mergeCells>
  <dataValidations count="1">
    <dataValidation sqref="K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5</formula2>
    </dataValidation>
  </dataValidations>
  <hyperlinks>
    <hyperlink ref="J10" location="'หน้าหลัก'!A1" display="🏠 กลับหน้าหลัก"/>
  </hyperlinks>
  <printOptions horizontalCentered="1"/>
  <pageMargins left="0.35" right="0.35" top="0.45" bottom="0.45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tabColor rgb="00E27098"/>
    <outlinePr summaryBelow="1" summaryRight="1"/>
    <pageSetUpPr fitToPage="1"/>
  </sheetPr>
  <dimension ref="A1:O28"/>
  <sheetViews>
    <sheetView tabSelected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5" customWidth="1" min="2" max="2"/>
    <col width="3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0" customWidth="1" min="10" max="10"/>
    <col width="28" customWidth="1" min="11" max="11"/>
    <col width="15" customWidth="1" min="12" max="12"/>
    <col width="22" customWidth="1" min="13" max="13"/>
  </cols>
  <sheetData>
    <row r="1" ht="48" customHeight="1">
      <c r="A1" s="810" t="inlineStr">
        <is>
          <t>🏠</t>
        </is>
      </c>
      <c r="B1" s="811" t="n"/>
      <c r="C1" s="811" t="n"/>
      <c r="D1" s="811" t="n"/>
      <c r="E1" s="811" t="n"/>
      <c r="F1" s="811" t="n"/>
      <c r="G1" s="811" t="n"/>
      <c r="H1" s="811" t="n"/>
      <c r="I1" s="811" t="n"/>
      <c r="J1" s="811" t="n"/>
      <c r="K1" s="811" t="n"/>
      <c r="L1" s="811" t="n"/>
      <c r="M1" s="811" t="n"/>
      <c r="N1" s="811" t="n"/>
      <c r="O1" s="811" t="n"/>
    </row>
    <row r="2" ht="20" customHeight="1">
      <c r="A2" s="812" t="inlineStr">
        <is>
          <t>หน้าหลัก</t>
        </is>
      </c>
      <c r="B2" s="813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814" t="n"/>
      <c r="D2" s="814" t="n"/>
      <c r="E2" s="814" t="n"/>
      <c r="F2" s="814" t="n"/>
      <c r="G2" s="814" t="n"/>
      <c r="H2" s="814" t="n"/>
      <c r="I2" s="814" t="n"/>
      <c r="J2" s="814" t="n"/>
      <c r="K2" s="814" t="n"/>
      <c r="L2" s="814" t="n"/>
      <c r="M2" s="814" t="n"/>
      <c r="N2" s="814" t="n"/>
      <c r="O2" s="814" t="n"/>
    </row>
    <row r="3">
      <c r="B3" s="301" t="inlineStr">
        <is>
          <t>เลือกผลแต่ละด้าน  ปกติ / เสี่ยง / มีปัญหา   •   ผลรวมคิดจากด้านที่หนักที่สุด   •   คอลัมน์ “สัญญาณจากข้อมูล” ช่วยเตือนจากข้อมูลที่บันทึกไว้ในระบบ</t>
        </is>
      </c>
    </row>
    <row r="4"/>
    <row r="5">
      <c r="A5" s="302" t="inlineStr">
        <is>
          <t>เลขที่</t>
        </is>
      </c>
      <c r="B5" s="302" t="inlineStr">
        <is>
          <t>ชื่อ - สกุล</t>
        </is>
      </c>
      <c r="C5" s="815" t="inlineStr">
        <is>
          <t>สัญญาณจากข้อมูลในระบบ
(ช่วยประกอบการพิจารณา)</t>
        </is>
      </c>
      <c r="D5" s="158" t="inlineStr">
        <is>
          <t>1. พัฒนาการ /
การเรียนรู้</t>
        </is>
      </c>
      <c r="E5" s="158" t="inlineStr">
        <is>
          <t>2. สุขภาพ</t>
        </is>
      </c>
      <c r="F5" s="158" t="inlineStr">
        <is>
          <t>3. พฤติกรรม /
อารมณ์</t>
        </is>
      </c>
      <c r="G5" s="158" t="inlineStr">
        <is>
          <t>4. ครอบครัว /
เศรษฐกิจ</t>
        </is>
      </c>
      <c r="H5" s="158" t="inlineStr">
        <is>
          <t>5. ความปลอดภัย /
การคุ้มครอง</t>
        </is>
      </c>
      <c r="I5" s="158" t="inlineStr">
        <is>
          <t>6. ความต้องการ
พิเศษ</t>
        </is>
      </c>
      <c r="J5" s="376" t="inlineStr">
        <is>
          <t>ผลการ
คัดกรอง</t>
        </is>
      </c>
      <c r="K5" s="158" t="inlineStr">
        <is>
          <t>แนวทางการช่วยเหลือ</t>
        </is>
      </c>
      <c r="L5" s="158" t="inlineStr">
        <is>
          <t>ผู้รับผิดชอบ /
ส่งต่อ</t>
        </is>
      </c>
      <c r="M5" s="158" t="inlineStr">
        <is>
          <t>ผลการติดตาม</t>
        </is>
      </c>
    </row>
    <row r="6"/>
    <row r="7"/>
    <row r="8"/>
    <row r="9" ht="24" customHeight="1">
      <c r="A9" s="218" t="n">
        <v>1</v>
      </c>
      <c r="B9" s="219">
        <f>'ข้อมูลนักเรียน'!T9</f>
        <v/>
      </c>
      <c r="C9" s="816">
        <f>IF(B9="","",IF(TRIM(IF(AND(N('สรุปมาเรียน'!Z9)&gt;0,N('สรุปมาเรียน'!Z9)&lt;0.8),"• มาเรียน "&amp;TEXT('สรุปมาเรียน'!Z9,"0%")&amp;"  ","")&amp;IF(OR(IF('น้ำหนักส่วนสูง'!CV9&lt;&gt;"",'น้ำหนักส่วนสูง'!CV9,'น้ำหนักส่วนสูง'!CQ9)="",IF('น้ำหนักส่วนสูง'!CV9&lt;&gt;"",'น้ำหนักส่วนสูง'!CV9,'น้ำหนักส่วนสูง'!CQ9)="สมส่วน",IF('น้ำหนักส่วนสูง'!CV9&lt;&gt;"",'น้ำหนักส่วนสูง'!CV9,'น้ำหนักส่วนสูง'!CQ9)="ตรวจสอบข้อมูล"),"","• น้ำหนัก: "&amp;IF('น้ำหนักส่วนสูง'!CV9&lt;&gt;"",'น้ำหนักส่วนสูง'!CV9,'น้ำหนักส่วนสูง'!CQ9)&amp;"  ")&amp;IF(OR(IF('น้ำหนักส่วนสูง'!CW9&lt;&gt;"",'น้ำหนักส่วนสูง'!CW9,'น้ำหนักส่วนสูง'!CR9)="เตี้ย",IF('น้ำหนักส่วนสูง'!CW9&lt;&gt;"",'น้ำหนักส่วนสูง'!CW9,'น้ำหนักส่วนสูง'!CR9)="ค่อนข้างเตี้ย"),"• ส่วนสูง: "&amp;IF('น้ำหนักส่วนสูง'!CW9&lt;&gt;"",'น้ำหนักส่วนสูง'!CW9,'น้ำหนักส่วนสูง'!CR9)&amp;"  ","")&amp;IF(IF('ประเมินพัฒนาการ-ภ2'!AP9&lt;&gt;"",'ประเมินพัฒนาการ-ภ2'!AP9,'ประเมินพัฒนาการ-ภ1'!AP9)="ปรับปรุง","• พัฒนาการควรส่งเสริม  ","")&amp;IF('ข้อมูลนักเรียน'!M9="","","• โรค/แพ้: "&amp;'ข้อมูลนักเรียน'!M9&amp;"  ")&amp;IF('เยี่ยมบ้าน'!K9="ต่ำกว่า 5,000 บาท","• รายได้ครอบครัวน้อย  ","")&amp;IF('เยี่ยมบ้าน'!N9="มีความเสี่ยง","• สภาพแวดล้อมเสี่ยง  ","")&amp;IF('เยี่ยมบ้าน'!O9="มีปัญหา","• ครอบครัวมีปัญหา  ","")&amp;IF('ผู้รับ-ส่ง'!O9="","","• มีข้อห้ามการรับเด็ก  "))="","ไม่พบสัญญาณ",TRIM(IF(AND(N('สรุปมาเรียน'!Z9)&gt;0,N('สรุปมาเรียน'!Z9)&lt;0.8),"• มาเรียน "&amp;TEXT('สรุปมาเรียน'!Z9,"0%")&amp;"  ","")&amp;IF(OR(IF('น้ำหนักส่วนสูง'!CV9&lt;&gt;"",'น้ำหนักส่วนสูง'!CV9,'น้ำหนักส่วนสูง'!CQ9)="",IF('น้ำหนักส่วนสูง'!CV9&lt;&gt;"",'น้ำหนักส่วนสูง'!CV9,'น้ำหนักส่วนสูง'!CQ9)="สมส่วน",IF('น้ำหนักส่วนสูง'!CV9&lt;&gt;"",'น้ำหนักส่วนสูง'!CV9,'น้ำหนักส่วนสูง'!CQ9)="ตรวจสอบข้อมูล"),"","• น้ำหนัก: "&amp;IF('น้ำหนักส่วนสูง'!CV9&lt;&gt;"",'น้ำหนักส่วนสูง'!CV9,'น้ำหนักส่วนสูง'!CQ9)&amp;"  ")&amp;IF(OR(IF('น้ำหนักส่วนสูง'!CW9&lt;&gt;"",'น้ำหนักส่วนสูง'!CW9,'น้ำหนักส่วนสูง'!CR9)="เตี้ย",IF('น้ำหนักส่วนสูง'!CW9&lt;&gt;"",'น้ำหนักส่วนสูง'!CW9,'น้ำหนักส่วนสูง'!CR9)="ค่อนข้างเตี้ย"),"• ส่วนสูง: "&amp;IF('น้ำหนักส่วนสูง'!CW9&lt;&gt;"",'น้ำหนักส่วนสูง'!CW9,'น้ำหนักส่วนสูง'!CR9)&amp;"  ","")&amp;IF(IF('ประเมินพัฒนาการ-ภ2'!AP9&lt;&gt;"",'ประเมินพัฒนาการ-ภ2'!AP9,'ประเมินพัฒนาการ-ภ1'!AP9)="ปรับปรุง","• พัฒนาการควรส่งเสริม  ","")&amp;IF('ข้อมูลนักเรียน'!M9="","","• โรค/แพ้: "&amp;'ข้อมูลนักเรียน'!M9&amp;"  ")&amp;IF('เยี่ยมบ้าน'!K9="ต่ำกว่า 5,000 บาท","• รายได้ครอบครัวน้อย  ","")&amp;IF('เยี่ยมบ้าน'!N9="มีความเสี่ยง","• สภาพแวดล้อมเสี่ยง  ","")&amp;IF('เยี่ยมบ้าน'!O9="มีปัญหา","• ครอบครัวมีปัญหา  ","")&amp;IF('ผู้รับ-ส่ง'!O9="","","• มีข้อห้ามการรับเด็ก  "))))</f>
        <v/>
      </c>
      <c r="D9" s="817" t="n"/>
      <c r="E9" s="817" t="n"/>
      <c r="F9" s="817" t="n"/>
      <c r="G9" s="817" t="n"/>
      <c r="H9" s="817" t="n"/>
      <c r="I9" s="817" t="n"/>
      <c r="J9" s="739">
        <f>IF(B9="","",IF(COUNTIF(D9:I9,"มีปัญหา")&gt;0,"มีปัญหา",IF(COUNTIF(D9:I9,"เสี่ยง")&gt;0,"เสี่ยง",IF(COUNTIF(D9:I9,"ปกติ")&gt;0,"ปกติ",""))))</f>
        <v/>
      </c>
      <c r="K9" s="351" t="n"/>
      <c r="L9" s="351" t="n"/>
      <c r="M9" s="351" t="n"/>
    </row>
    <row r="10" ht="24" customHeight="1">
      <c r="A10" s="226" t="n">
        <v>2</v>
      </c>
      <c r="B10" s="227">
        <f>'ข้อมูลนักเรียน'!T10</f>
        <v/>
      </c>
      <c r="C10" s="816">
        <f>IF(B10="","",IF(TRIM(IF(AND(N('สรุปมาเรียน'!Z10)&gt;0,N('สรุปมาเรียน'!Z10)&lt;0.8),"• มาเรียน "&amp;TEXT('สรุปมาเรียน'!Z10,"0%")&amp;"  ","")&amp;IF(OR(IF('น้ำหนักส่วนสูง'!CV10&lt;&gt;"",'น้ำหนักส่วนสูง'!CV10,'น้ำหนักส่วนสูง'!CQ10)="",IF('น้ำหนักส่วนสูง'!CV10&lt;&gt;"",'น้ำหนักส่วนสูง'!CV10,'น้ำหนักส่วนสูง'!CQ10)="สมส่วน",IF('น้ำหนักส่วนสูง'!CV10&lt;&gt;"",'น้ำหนักส่วนสูง'!CV10,'น้ำหนักส่วนสูง'!CQ10)="ตรวจสอบข้อมูล"),"","• น้ำหนัก: "&amp;IF('น้ำหนักส่วนสูง'!CV10&lt;&gt;"",'น้ำหนักส่วนสูง'!CV10,'น้ำหนักส่วนสูง'!CQ10)&amp;"  ")&amp;IF(OR(IF('น้ำหนักส่วนสูง'!CW10&lt;&gt;"",'น้ำหนักส่วนสูง'!CW10,'น้ำหนักส่วนสูง'!CR10)="เตี้ย",IF('น้ำหนักส่วนสูง'!CW10&lt;&gt;"",'น้ำหนักส่วนสูง'!CW10,'น้ำหนักส่วนสูง'!CR10)="ค่อนข้างเตี้ย"),"• ส่วนสูง: "&amp;IF('น้ำหนักส่วนสูง'!CW10&lt;&gt;"",'น้ำหนักส่วนสูง'!CW10,'น้ำหนักส่วนสูง'!CR10)&amp;"  ","")&amp;IF(IF('ประเมินพัฒนาการ-ภ2'!AP10&lt;&gt;"",'ประเมินพัฒนาการ-ภ2'!AP10,'ประเมินพัฒนาการ-ภ1'!AP10)="ปรับปรุง","• พัฒนาการควรส่งเสริม  ","")&amp;IF('ข้อมูลนักเรียน'!M10="","","• โรค/แพ้: "&amp;'ข้อมูลนักเรียน'!M10&amp;"  ")&amp;IF('เยี่ยมบ้าน'!K10="ต่ำกว่า 5,000 บาท","• รายได้ครอบครัวน้อย  ","")&amp;IF('เยี่ยมบ้าน'!N10="มีความเสี่ยง","• สภาพแวดล้อมเสี่ยง  ","")&amp;IF('เยี่ยมบ้าน'!O10="มีปัญหา","• ครอบครัวมีปัญหา  ","")&amp;IF('ผู้รับ-ส่ง'!O10="","","• มีข้อห้ามการรับเด็ก  "))="","ไม่พบสัญญาณ",TRIM(IF(AND(N('สรุปมาเรียน'!Z10)&gt;0,N('สรุปมาเรียน'!Z10)&lt;0.8),"• มาเรียน "&amp;TEXT('สรุปมาเรียน'!Z10,"0%")&amp;"  ","")&amp;IF(OR(IF('น้ำหนักส่วนสูง'!CV10&lt;&gt;"",'น้ำหนักส่วนสูง'!CV10,'น้ำหนักส่วนสูง'!CQ10)="",IF('น้ำหนักส่วนสูง'!CV10&lt;&gt;"",'น้ำหนักส่วนสูง'!CV10,'น้ำหนักส่วนสูง'!CQ10)="สมส่วน",IF('น้ำหนักส่วนสูง'!CV10&lt;&gt;"",'น้ำหนักส่วนสูง'!CV10,'น้ำหนักส่วนสูง'!CQ10)="ตรวจสอบข้อมูล"),"","• น้ำหนัก: "&amp;IF('น้ำหนักส่วนสูง'!CV10&lt;&gt;"",'น้ำหนักส่วนสูง'!CV10,'น้ำหนักส่วนสูง'!CQ10)&amp;"  ")&amp;IF(OR(IF('น้ำหนักส่วนสูง'!CW10&lt;&gt;"",'น้ำหนักส่วนสูง'!CW10,'น้ำหนักส่วนสูง'!CR10)="เตี้ย",IF('น้ำหนักส่วนสูง'!CW10&lt;&gt;"",'น้ำหนักส่วนสูง'!CW10,'น้ำหนักส่วนสูง'!CR10)="ค่อนข้างเตี้ย"),"• ส่วนสูง: "&amp;IF('น้ำหนักส่วนสูง'!CW10&lt;&gt;"",'น้ำหนักส่วนสูง'!CW10,'น้ำหนักส่วนสูง'!CR10)&amp;"  ","")&amp;IF(IF('ประเมินพัฒนาการ-ภ2'!AP10&lt;&gt;"",'ประเมินพัฒนาการ-ภ2'!AP10,'ประเมินพัฒนาการ-ภ1'!AP10)="ปรับปรุง","• พัฒนาการควรส่งเสริม  ","")&amp;IF('ข้อมูลนักเรียน'!M10="","","• โรค/แพ้: "&amp;'ข้อมูลนักเรียน'!M10&amp;"  ")&amp;IF('เยี่ยมบ้าน'!K10="ต่ำกว่า 5,000 บาท","• รายได้ครอบครัวน้อย  ","")&amp;IF('เยี่ยมบ้าน'!N10="มีความเสี่ยง","• สภาพแวดล้อมเสี่ยง  ","")&amp;IF('เยี่ยมบ้าน'!O10="มีปัญหา","• ครอบครัวมีปัญหา  ","")&amp;IF('ผู้รับ-ส่ง'!O10="","","• มีข้อห้ามการรับเด็ก  "))))</f>
        <v/>
      </c>
      <c r="D10" s="817" t="n"/>
      <c r="E10" s="817" t="n"/>
      <c r="F10" s="817" t="n"/>
      <c r="G10" s="817" t="n"/>
      <c r="H10" s="817" t="n"/>
      <c r="I10" s="817" t="n"/>
      <c r="J10" s="739">
        <f>IF(B10="","",IF(COUNTIF(D10:I10,"มีปัญหา")&gt;0,"มีปัญหา",IF(COUNTIF(D10:I10,"เสี่ยง")&gt;0,"เสี่ยง",IF(COUNTIF(D10:I10,"ปกติ")&gt;0,"ปกติ",""))))</f>
        <v/>
      </c>
      <c r="K10" s="351" t="n"/>
      <c r="L10" s="351" t="n"/>
      <c r="M10" s="351" t="n"/>
    </row>
    <row r="11" ht="24" customHeight="1">
      <c r="A11" s="218" t="n">
        <v>3</v>
      </c>
      <c r="B11" s="219">
        <f>'ข้อมูลนักเรียน'!T11</f>
        <v/>
      </c>
      <c r="C11" s="816">
        <f>IF(B11="","",IF(TRIM(IF(AND(N('สรุปมาเรียน'!Z11)&gt;0,N('สรุปมาเรียน'!Z11)&lt;0.8),"• มาเรียน "&amp;TEXT('สรุปมาเรียน'!Z11,"0%")&amp;"  ","")&amp;IF(OR(IF('น้ำหนักส่วนสูง'!CV11&lt;&gt;"",'น้ำหนักส่วนสูง'!CV11,'น้ำหนักส่วนสูง'!CQ11)="",IF('น้ำหนักส่วนสูง'!CV11&lt;&gt;"",'น้ำหนักส่วนสูง'!CV11,'น้ำหนักส่วนสูง'!CQ11)="สมส่วน",IF('น้ำหนักส่วนสูง'!CV11&lt;&gt;"",'น้ำหนักส่วนสูง'!CV11,'น้ำหนักส่วนสูง'!CQ11)="ตรวจสอบข้อมูล"),"","• น้ำหนัก: "&amp;IF('น้ำหนักส่วนสูง'!CV11&lt;&gt;"",'น้ำหนักส่วนสูง'!CV11,'น้ำหนักส่วนสูง'!CQ11)&amp;"  ")&amp;IF(OR(IF('น้ำหนักส่วนสูง'!CW11&lt;&gt;"",'น้ำหนักส่วนสูง'!CW11,'น้ำหนักส่วนสูง'!CR11)="เตี้ย",IF('น้ำหนักส่วนสูง'!CW11&lt;&gt;"",'น้ำหนักส่วนสูง'!CW11,'น้ำหนักส่วนสูง'!CR11)="ค่อนข้างเตี้ย"),"• ส่วนสูง: "&amp;IF('น้ำหนักส่วนสูง'!CW11&lt;&gt;"",'น้ำหนักส่วนสูง'!CW11,'น้ำหนักส่วนสูง'!CR11)&amp;"  ","")&amp;IF(IF('ประเมินพัฒนาการ-ภ2'!AP11&lt;&gt;"",'ประเมินพัฒนาการ-ภ2'!AP11,'ประเมินพัฒนาการ-ภ1'!AP11)="ปรับปรุง","• พัฒนาการควรส่งเสริม  ","")&amp;IF('ข้อมูลนักเรียน'!M11="","","• โรค/แพ้: "&amp;'ข้อมูลนักเรียน'!M11&amp;"  ")&amp;IF('เยี่ยมบ้าน'!K11="ต่ำกว่า 5,000 บาท","• รายได้ครอบครัวน้อย  ","")&amp;IF('เยี่ยมบ้าน'!N11="มีความเสี่ยง","• สภาพแวดล้อมเสี่ยง  ","")&amp;IF('เยี่ยมบ้าน'!O11="มีปัญหา","• ครอบครัวมีปัญหา  ","")&amp;IF('ผู้รับ-ส่ง'!O11="","","• มีข้อห้ามการรับเด็ก  "))="","ไม่พบสัญญาณ",TRIM(IF(AND(N('สรุปมาเรียน'!Z11)&gt;0,N('สรุปมาเรียน'!Z11)&lt;0.8),"• มาเรียน "&amp;TEXT('สรุปมาเรียน'!Z11,"0%")&amp;"  ","")&amp;IF(OR(IF('น้ำหนักส่วนสูง'!CV11&lt;&gt;"",'น้ำหนักส่วนสูง'!CV11,'น้ำหนักส่วนสูง'!CQ11)="",IF('น้ำหนักส่วนสูง'!CV11&lt;&gt;"",'น้ำหนักส่วนสูง'!CV11,'น้ำหนักส่วนสูง'!CQ11)="สมส่วน",IF('น้ำหนักส่วนสูง'!CV11&lt;&gt;"",'น้ำหนักส่วนสูง'!CV11,'น้ำหนักส่วนสูง'!CQ11)="ตรวจสอบข้อมูล"),"","• น้ำหนัก: "&amp;IF('น้ำหนักส่วนสูง'!CV11&lt;&gt;"",'น้ำหนักส่วนสูง'!CV11,'น้ำหนักส่วนสูง'!CQ11)&amp;"  ")&amp;IF(OR(IF('น้ำหนักส่วนสูง'!CW11&lt;&gt;"",'น้ำหนักส่วนสูง'!CW11,'น้ำหนักส่วนสูง'!CR11)="เตี้ย",IF('น้ำหนักส่วนสูง'!CW11&lt;&gt;"",'น้ำหนักส่วนสูง'!CW11,'น้ำหนักส่วนสูง'!CR11)="ค่อนข้างเตี้ย"),"• ส่วนสูง: "&amp;IF('น้ำหนักส่วนสูง'!CW11&lt;&gt;"",'น้ำหนักส่วนสูง'!CW11,'น้ำหนักส่วนสูง'!CR11)&amp;"  ","")&amp;IF(IF('ประเมินพัฒนาการ-ภ2'!AP11&lt;&gt;"",'ประเมินพัฒนาการ-ภ2'!AP11,'ประเมินพัฒนาการ-ภ1'!AP11)="ปรับปรุง","• พัฒนาการควรส่งเสริม  ","")&amp;IF('ข้อมูลนักเรียน'!M11="","","• โรค/แพ้: "&amp;'ข้อมูลนักเรียน'!M11&amp;"  ")&amp;IF('เยี่ยมบ้าน'!K11="ต่ำกว่า 5,000 บาท","• รายได้ครอบครัวน้อย  ","")&amp;IF('เยี่ยมบ้าน'!N11="มีความเสี่ยง","• สภาพแวดล้อมเสี่ยง  ","")&amp;IF('เยี่ยมบ้าน'!O11="มีปัญหา","• ครอบครัวมีปัญหา  ","")&amp;IF('ผู้รับ-ส่ง'!O11="","","• มีข้อห้ามการรับเด็ก  "))))</f>
        <v/>
      </c>
      <c r="D11" s="817" t="n"/>
      <c r="E11" s="817" t="n"/>
      <c r="F11" s="817" t="n"/>
      <c r="G11" s="817" t="n"/>
      <c r="H11" s="817" t="n"/>
      <c r="I11" s="817" t="n"/>
      <c r="J11" s="739">
        <f>IF(B11="","",IF(COUNTIF(D11:I11,"มีปัญหา")&gt;0,"มีปัญหา",IF(COUNTIF(D11:I11,"เสี่ยง")&gt;0,"เสี่ยง",IF(COUNTIF(D11:I11,"ปกติ")&gt;0,"ปกติ",""))))</f>
        <v/>
      </c>
      <c r="K11" s="351" t="n"/>
      <c r="L11" s="351" t="n"/>
      <c r="M11" s="351" t="n"/>
    </row>
    <row r="12" ht="24" customHeight="1">
      <c r="A12" s="226" t="n">
        <v>4</v>
      </c>
      <c r="B12" s="227">
        <f>'ข้อมูลนักเรียน'!T12</f>
        <v/>
      </c>
      <c r="C12" s="816">
        <f>IF(B12="","",IF(TRIM(IF(AND(N('สรุปมาเรียน'!Z12)&gt;0,N('สรุปมาเรียน'!Z12)&lt;0.8),"• มาเรียน "&amp;TEXT('สรุปมาเรียน'!Z12,"0%")&amp;"  ","")&amp;IF(OR(IF('น้ำหนักส่วนสูง'!CV12&lt;&gt;"",'น้ำหนักส่วนสูง'!CV12,'น้ำหนักส่วนสูง'!CQ12)="",IF('น้ำหนักส่วนสูง'!CV12&lt;&gt;"",'น้ำหนักส่วนสูง'!CV12,'น้ำหนักส่วนสูง'!CQ12)="สมส่วน",IF('น้ำหนักส่วนสูง'!CV12&lt;&gt;"",'น้ำหนักส่วนสูง'!CV12,'น้ำหนักส่วนสูง'!CQ12)="ตรวจสอบข้อมูล"),"","• น้ำหนัก: "&amp;IF('น้ำหนักส่วนสูง'!CV12&lt;&gt;"",'น้ำหนักส่วนสูง'!CV12,'น้ำหนักส่วนสูง'!CQ12)&amp;"  ")&amp;IF(OR(IF('น้ำหนักส่วนสูง'!CW12&lt;&gt;"",'น้ำหนักส่วนสูง'!CW12,'น้ำหนักส่วนสูง'!CR12)="เตี้ย",IF('น้ำหนักส่วนสูง'!CW12&lt;&gt;"",'น้ำหนักส่วนสูง'!CW12,'น้ำหนักส่วนสูง'!CR12)="ค่อนข้างเตี้ย"),"• ส่วนสูง: "&amp;IF('น้ำหนักส่วนสูง'!CW12&lt;&gt;"",'น้ำหนักส่วนสูง'!CW12,'น้ำหนักส่วนสูง'!CR12)&amp;"  ","")&amp;IF(IF('ประเมินพัฒนาการ-ภ2'!AP12&lt;&gt;"",'ประเมินพัฒนาการ-ภ2'!AP12,'ประเมินพัฒนาการ-ภ1'!AP12)="ปรับปรุง","• พัฒนาการควรส่งเสริม  ","")&amp;IF('ข้อมูลนักเรียน'!M12="","","• โรค/แพ้: "&amp;'ข้อมูลนักเรียน'!M12&amp;"  ")&amp;IF('เยี่ยมบ้าน'!K12="ต่ำกว่า 5,000 บาท","• รายได้ครอบครัวน้อย  ","")&amp;IF('เยี่ยมบ้าน'!N12="มีความเสี่ยง","• สภาพแวดล้อมเสี่ยง  ","")&amp;IF('เยี่ยมบ้าน'!O12="มีปัญหา","• ครอบครัวมีปัญหา  ","")&amp;IF('ผู้รับ-ส่ง'!O12="","","• มีข้อห้ามการรับเด็ก  "))="","ไม่พบสัญญาณ",TRIM(IF(AND(N('สรุปมาเรียน'!Z12)&gt;0,N('สรุปมาเรียน'!Z12)&lt;0.8),"• มาเรียน "&amp;TEXT('สรุปมาเรียน'!Z12,"0%")&amp;"  ","")&amp;IF(OR(IF('น้ำหนักส่วนสูง'!CV12&lt;&gt;"",'น้ำหนักส่วนสูง'!CV12,'น้ำหนักส่วนสูง'!CQ12)="",IF('น้ำหนักส่วนสูง'!CV12&lt;&gt;"",'น้ำหนักส่วนสูง'!CV12,'น้ำหนักส่วนสูง'!CQ12)="สมส่วน",IF('น้ำหนักส่วนสูง'!CV12&lt;&gt;"",'น้ำหนักส่วนสูง'!CV12,'น้ำหนักส่วนสูง'!CQ12)="ตรวจสอบข้อมูล"),"","• น้ำหนัก: "&amp;IF('น้ำหนักส่วนสูง'!CV12&lt;&gt;"",'น้ำหนักส่วนสูง'!CV12,'น้ำหนักส่วนสูง'!CQ12)&amp;"  ")&amp;IF(OR(IF('น้ำหนักส่วนสูง'!CW12&lt;&gt;"",'น้ำหนักส่วนสูง'!CW12,'น้ำหนักส่วนสูง'!CR12)="เตี้ย",IF('น้ำหนักส่วนสูง'!CW12&lt;&gt;"",'น้ำหนักส่วนสูง'!CW12,'น้ำหนักส่วนสูง'!CR12)="ค่อนข้างเตี้ย"),"• ส่วนสูง: "&amp;IF('น้ำหนักส่วนสูง'!CW12&lt;&gt;"",'น้ำหนักส่วนสูง'!CW12,'น้ำหนักส่วนสูง'!CR12)&amp;"  ","")&amp;IF(IF('ประเมินพัฒนาการ-ภ2'!AP12&lt;&gt;"",'ประเมินพัฒนาการ-ภ2'!AP12,'ประเมินพัฒนาการ-ภ1'!AP12)="ปรับปรุง","• พัฒนาการควรส่งเสริม  ","")&amp;IF('ข้อมูลนักเรียน'!M12="","","• โรค/แพ้: "&amp;'ข้อมูลนักเรียน'!M12&amp;"  ")&amp;IF('เยี่ยมบ้าน'!K12="ต่ำกว่า 5,000 บาท","• รายได้ครอบครัวน้อย  ","")&amp;IF('เยี่ยมบ้าน'!N12="มีความเสี่ยง","• สภาพแวดล้อมเสี่ยง  ","")&amp;IF('เยี่ยมบ้าน'!O12="มีปัญหา","• ครอบครัวมีปัญหา  ","")&amp;IF('ผู้รับ-ส่ง'!O12="","","• มีข้อห้ามการรับเด็ก  "))))</f>
        <v/>
      </c>
      <c r="D12" s="817" t="n"/>
      <c r="E12" s="817" t="n"/>
      <c r="F12" s="817" t="n"/>
      <c r="G12" s="817" t="n"/>
      <c r="H12" s="817" t="n"/>
      <c r="I12" s="817" t="n"/>
      <c r="J12" s="739">
        <f>IF(B12="","",IF(COUNTIF(D12:I12,"มีปัญหา")&gt;0,"มีปัญหา",IF(COUNTIF(D12:I12,"เสี่ยง")&gt;0,"เสี่ยง",IF(COUNTIF(D12:I12,"ปกติ")&gt;0,"ปกติ",""))))</f>
        <v/>
      </c>
      <c r="K12" s="351" t="n"/>
      <c r="L12" s="351" t="n"/>
      <c r="M12" s="351" t="n"/>
    </row>
    <row r="13" ht="24" customHeight="1">
      <c r="A13" s="218" t="n">
        <v>5</v>
      </c>
      <c r="B13" s="219">
        <f>'ข้อมูลนักเรียน'!T13</f>
        <v/>
      </c>
      <c r="C13" s="816">
        <f>IF(B13="","",IF(TRIM(IF(AND(N('สรุปมาเรียน'!Z13)&gt;0,N('สรุปมาเรียน'!Z13)&lt;0.8),"• มาเรียน "&amp;TEXT('สรุปมาเรียน'!Z13,"0%")&amp;"  ","")&amp;IF(OR(IF('น้ำหนักส่วนสูง'!CV13&lt;&gt;"",'น้ำหนักส่วนสูง'!CV13,'น้ำหนักส่วนสูง'!CQ13)="",IF('น้ำหนักส่วนสูง'!CV13&lt;&gt;"",'น้ำหนักส่วนสูง'!CV13,'น้ำหนักส่วนสูง'!CQ13)="สมส่วน",IF('น้ำหนักส่วนสูง'!CV13&lt;&gt;"",'น้ำหนักส่วนสูง'!CV13,'น้ำหนักส่วนสูง'!CQ13)="ตรวจสอบข้อมูล"),"","• น้ำหนัก: "&amp;IF('น้ำหนักส่วนสูง'!CV13&lt;&gt;"",'น้ำหนักส่วนสูง'!CV13,'น้ำหนักส่วนสูง'!CQ13)&amp;"  ")&amp;IF(OR(IF('น้ำหนักส่วนสูง'!CW13&lt;&gt;"",'น้ำหนักส่วนสูง'!CW13,'น้ำหนักส่วนสูง'!CR13)="เตี้ย",IF('น้ำหนักส่วนสูง'!CW13&lt;&gt;"",'น้ำหนักส่วนสูง'!CW13,'น้ำหนักส่วนสูง'!CR13)="ค่อนข้างเตี้ย"),"• ส่วนสูง: "&amp;IF('น้ำหนักส่วนสูง'!CW13&lt;&gt;"",'น้ำหนักส่วนสูง'!CW13,'น้ำหนักส่วนสูง'!CR13)&amp;"  ","")&amp;IF(IF('ประเมินพัฒนาการ-ภ2'!AP13&lt;&gt;"",'ประเมินพัฒนาการ-ภ2'!AP13,'ประเมินพัฒนาการ-ภ1'!AP13)="ปรับปรุง","• พัฒนาการควรส่งเสริม  ","")&amp;IF('ข้อมูลนักเรียน'!M13="","","• โรค/แพ้: "&amp;'ข้อมูลนักเรียน'!M13&amp;"  ")&amp;IF('เยี่ยมบ้าน'!K13="ต่ำกว่า 5,000 บาท","• รายได้ครอบครัวน้อย  ","")&amp;IF('เยี่ยมบ้าน'!N13="มีความเสี่ยง","• สภาพแวดล้อมเสี่ยง  ","")&amp;IF('เยี่ยมบ้าน'!O13="มีปัญหา","• ครอบครัวมีปัญหา  ","")&amp;IF('ผู้รับ-ส่ง'!O13="","","• มีข้อห้ามการรับเด็ก  "))="","ไม่พบสัญญาณ",TRIM(IF(AND(N('สรุปมาเรียน'!Z13)&gt;0,N('สรุปมาเรียน'!Z13)&lt;0.8),"• มาเรียน "&amp;TEXT('สรุปมาเรียน'!Z13,"0%")&amp;"  ","")&amp;IF(OR(IF('น้ำหนักส่วนสูง'!CV13&lt;&gt;"",'น้ำหนักส่วนสูง'!CV13,'น้ำหนักส่วนสูง'!CQ13)="",IF('น้ำหนักส่วนสูง'!CV13&lt;&gt;"",'น้ำหนักส่วนสูง'!CV13,'น้ำหนักส่วนสูง'!CQ13)="สมส่วน",IF('น้ำหนักส่วนสูง'!CV13&lt;&gt;"",'น้ำหนักส่วนสูง'!CV13,'น้ำหนักส่วนสูง'!CQ13)="ตรวจสอบข้อมูล"),"","• น้ำหนัก: "&amp;IF('น้ำหนักส่วนสูง'!CV13&lt;&gt;"",'น้ำหนักส่วนสูง'!CV13,'น้ำหนักส่วนสูง'!CQ13)&amp;"  ")&amp;IF(OR(IF('น้ำหนักส่วนสูง'!CW13&lt;&gt;"",'น้ำหนักส่วนสูง'!CW13,'น้ำหนักส่วนสูง'!CR13)="เตี้ย",IF('น้ำหนักส่วนสูง'!CW13&lt;&gt;"",'น้ำหนักส่วนสูง'!CW13,'น้ำหนักส่วนสูง'!CR13)="ค่อนข้างเตี้ย"),"• ส่วนสูง: "&amp;IF('น้ำหนักส่วนสูง'!CW13&lt;&gt;"",'น้ำหนักส่วนสูง'!CW13,'น้ำหนักส่วนสูง'!CR13)&amp;"  ","")&amp;IF(IF('ประเมินพัฒนาการ-ภ2'!AP13&lt;&gt;"",'ประเมินพัฒนาการ-ภ2'!AP13,'ประเมินพัฒนาการ-ภ1'!AP13)="ปรับปรุง","• พัฒนาการควรส่งเสริม  ","")&amp;IF('ข้อมูลนักเรียน'!M13="","","• โรค/แพ้: "&amp;'ข้อมูลนักเรียน'!M13&amp;"  ")&amp;IF('เยี่ยมบ้าน'!K13="ต่ำกว่า 5,000 บาท","• รายได้ครอบครัวน้อย  ","")&amp;IF('เยี่ยมบ้าน'!N13="มีความเสี่ยง","• สภาพแวดล้อมเสี่ยง  ","")&amp;IF('เยี่ยมบ้าน'!O13="มีปัญหา","• ครอบครัวมีปัญหา  ","")&amp;IF('ผู้รับ-ส่ง'!O13="","","• มีข้อห้ามการรับเด็ก  "))))</f>
        <v/>
      </c>
      <c r="D13" s="817" t="n"/>
      <c r="E13" s="817" t="n"/>
      <c r="F13" s="817" t="n"/>
      <c r="G13" s="817" t="n"/>
      <c r="H13" s="817" t="n"/>
      <c r="I13" s="817" t="n"/>
      <c r="J13" s="739">
        <f>IF(B13="","",IF(COUNTIF(D13:I13,"มีปัญหา")&gt;0,"มีปัญหา",IF(COUNTIF(D13:I13,"เสี่ยง")&gt;0,"เสี่ยง",IF(COUNTIF(D13:I13,"ปกติ")&gt;0,"ปกติ",""))))</f>
        <v/>
      </c>
      <c r="K13" s="351" t="n"/>
      <c r="L13" s="351" t="n"/>
      <c r="M13" s="351" t="n"/>
    </row>
    <row r="14"/>
    <row r="15">
      <c r="B15" s="375" t="inlineStr">
        <is>
          <t>สรุปผลการคัดกรอง</t>
        </is>
      </c>
    </row>
    <row r="16">
      <c r="B16" s="312" t="inlineStr">
        <is>
          <t>ด้าน</t>
        </is>
      </c>
      <c r="C16" s="818" t="n"/>
      <c r="D16" s="376" t="inlineStr">
        <is>
          <t>ปกติ (คน)</t>
        </is>
      </c>
      <c r="E16" s="376" t="inlineStr">
        <is>
          <t>ร้อยละ</t>
        </is>
      </c>
      <c r="F16" s="376" t="inlineStr">
        <is>
          <t>เสี่ยง (คน)</t>
        </is>
      </c>
      <c r="G16" s="376" t="inlineStr">
        <is>
          <t>ร้อยละ</t>
        </is>
      </c>
      <c r="H16" s="376" t="inlineStr">
        <is>
          <t>มีปัญหา (คน)</t>
        </is>
      </c>
      <c r="I16" s="376" t="inlineStr">
        <is>
          <t>ร้อยละ</t>
        </is>
      </c>
    </row>
    <row r="17" ht="18" customHeight="1">
      <c r="B17" s="384" t="inlineStr">
        <is>
          <t>พัฒนาการ / การเรียนรู้</t>
        </is>
      </c>
      <c r="D17" s="819">
        <f>COUNTIF(D9:D13,"ปกติ")</f>
        <v/>
      </c>
      <c r="E17" s="419">
        <f>IFERROR(D17/COUNTIF(D9:D13,"?*"),"")</f>
        <v/>
      </c>
      <c r="F17" s="820">
        <f>COUNTIF(D9:D13,"เสี่ยง")</f>
        <v/>
      </c>
      <c r="G17" s="821">
        <f>IFERROR(F17/COUNTIF(D9:D13,"?*"),"")</f>
        <v/>
      </c>
      <c r="H17" s="822">
        <f>COUNTIF(D9:D13,"มีปัญหา")</f>
        <v/>
      </c>
      <c r="I17" s="823">
        <f>IFERROR(H17/COUNTIF(D9:D13,"?*"),"")</f>
        <v/>
      </c>
    </row>
    <row r="18" ht="18" customHeight="1">
      <c r="B18" s="384" t="inlineStr">
        <is>
          <t>สุขภาพ</t>
        </is>
      </c>
      <c r="D18" s="819">
        <f>COUNTIF(E9:E13,"ปกติ")</f>
        <v/>
      </c>
      <c r="E18" s="419">
        <f>IFERROR(D18/COUNTIF(E9:E13,"?*"),"")</f>
        <v/>
      </c>
      <c r="F18" s="820">
        <f>COUNTIF(E9:E13,"เสี่ยง")</f>
        <v/>
      </c>
      <c r="G18" s="821">
        <f>IFERROR(F18/COUNTIF(E9:E13,"?*"),"")</f>
        <v/>
      </c>
      <c r="H18" s="822">
        <f>COUNTIF(E9:E13,"มีปัญหา")</f>
        <v/>
      </c>
      <c r="I18" s="823">
        <f>IFERROR(H18/COUNTIF(E9:E13,"?*"),"")</f>
        <v/>
      </c>
    </row>
    <row r="19" ht="18" customHeight="1">
      <c r="B19" s="384" t="inlineStr">
        <is>
          <t>พฤติกรรม / อารมณ์</t>
        </is>
      </c>
      <c r="D19" s="819">
        <f>COUNTIF(F9:F13,"ปกติ")</f>
        <v/>
      </c>
      <c r="E19" s="419">
        <f>IFERROR(D19/COUNTIF(F9:F13,"?*"),"")</f>
        <v/>
      </c>
      <c r="F19" s="820">
        <f>COUNTIF(F9:F13,"เสี่ยง")</f>
        <v/>
      </c>
      <c r="G19" s="821">
        <f>IFERROR(F19/COUNTIF(F9:F13,"?*"),"")</f>
        <v/>
      </c>
      <c r="H19" s="822">
        <f>COUNTIF(F9:F13,"มีปัญหา")</f>
        <v/>
      </c>
      <c r="I19" s="823">
        <f>IFERROR(H19/COUNTIF(F9:F13,"?*"),"")</f>
        <v/>
      </c>
    </row>
    <row r="20" ht="18" customHeight="1">
      <c r="B20" s="384" t="inlineStr">
        <is>
          <t>ครอบครัว / เศรษฐกิจ</t>
        </is>
      </c>
      <c r="D20" s="819">
        <f>COUNTIF(G9:G13,"ปกติ")</f>
        <v/>
      </c>
      <c r="E20" s="419">
        <f>IFERROR(D20/COUNTIF(G9:G13,"?*"),"")</f>
        <v/>
      </c>
      <c r="F20" s="820">
        <f>COUNTIF(G9:G13,"เสี่ยง")</f>
        <v/>
      </c>
      <c r="G20" s="821">
        <f>IFERROR(F20/COUNTIF(G9:G13,"?*"),"")</f>
        <v/>
      </c>
      <c r="H20" s="822">
        <f>COUNTIF(G9:G13,"มีปัญหา")</f>
        <v/>
      </c>
      <c r="I20" s="823">
        <f>IFERROR(H20/COUNTIF(G9:G13,"?*"),"")</f>
        <v/>
      </c>
    </row>
    <row r="21" ht="18" customHeight="1">
      <c r="B21" s="384" t="inlineStr">
        <is>
          <t>ความปลอดภัย / การคุ้มครอง</t>
        </is>
      </c>
      <c r="D21" s="819">
        <f>COUNTIF(H9:H13,"ปกติ")</f>
        <v/>
      </c>
      <c r="E21" s="419">
        <f>IFERROR(D21/COUNTIF(H9:H13,"?*"),"")</f>
        <v/>
      </c>
      <c r="F21" s="820">
        <f>COUNTIF(H9:H13,"เสี่ยง")</f>
        <v/>
      </c>
      <c r="G21" s="821">
        <f>IFERROR(F21/COUNTIF(H9:H13,"?*"),"")</f>
        <v/>
      </c>
      <c r="H21" s="822">
        <f>COUNTIF(H9:H13,"มีปัญหา")</f>
        <v/>
      </c>
      <c r="I21" s="823">
        <f>IFERROR(H21/COUNTIF(H9:H13,"?*"),"")</f>
        <v/>
      </c>
    </row>
    <row r="22" ht="18" customHeight="1">
      <c r="B22" s="384" t="inlineStr">
        <is>
          <t>ความต้องการพิเศษ</t>
        </is>
      </c>
      <c r="D22" s="819">
        <f>COUNTIF(I9:I13,"ปกติ")</f>
        <v/>
      </c>
      <c r="E22" s="419">
        <f>IFERROR(D22/COUNTIF(I9:I13,"?*"),"")</f>
        <v/>
      </c>
      <c r="F22" s="820">
        <f>COUNTIF(I9:I13,"เสี่ยง")</f>
        <v/>
      </c>
      <c r="G22" s="821">
        <f>IFERROR(F22/COUNTIF(I9:I13,"?*"),"")</f>
        <v/>
      </c>
      <c r="H22" s="822">
        <f>COUNTIF(I9:I13,"มีปัญหา")</f>
        <v/>
      </c>
      <c r="I22" s="823">
        <f>IFERROR(H22/COUNTIF(I9:I13,"?*"),"")</f>
        <v/>
      </c>
    </row>
    <row r="23" ht="18" customHeight="1">
      <c r="B23" s="384" t="inlineStr">
        <is>
          <t>ผลรวม</t>
        </is>
      </c>
      <c r="D23" s="819">
        <f>COUNTIF(J9:J13,"ปกติ")</f>
        <v/>
      </c>
      <c r="E23" s="419">
        <f>IFERROR(D23/COUNTIF(J9:J13,"?*"),"")</f>
        <v/>
      </c>
      <c r="F23" s="820">
        <f>COUNTIF(J9:J13,"เสี่ยง")</f>
        <v/>
      </c>
      <c r="G23" s="821">
        <f>IFERROR(F23/COUNTIF(J9:J13,"?*"),"")</f>
        <v/>
      </c>
      <c r="H23" s="822">
        <f>COUNTIF(J9:J13,"มีปัญหา")</f>
        <v/>
      </c>
      <c r="I23" s="823">
        <f>IFERROR(H23/COUNTIF(J9:J13,"?*"),"")</f>
        <v/>
      </c>
    </row>
    <row r="24"/>
    <row r="25"/>
    <row r="26">
      <c r="B26" s="246" t="inlineStr">
        <is>
          <t>ลงชื่อ ........................................................</t>
        </is>
      </c>
      <c r="K26" s="246" t="inlineStr">
        <is>
          <t>ลงชื่อ ........................................................</t>
        </is>
      </c>
    </row>
    <row r="27">
      <c r="B27" s="246">
        <f>"( "&amp;IF('ข้อมูลโรงเรียน'!$C$9="","..................................................",'ข้อมูลโรงเรียน'!$C$9)&amp;" )"</f>
        <v/>
      </c>
      <c r="K27" s="246">
        <f>"( "&amp;IF('ข้อมูลโรงเรียน'!$C$11="","..................................................",'ข้อมูลโรงเรียน'!$C$11)&amp;" )"</f>
        <v/>
      </c>
    </row>
    <row r="28">
      <c r="B28" s="277" t="inlineStr">
        <is>
          <t>ครูประจำชั้น</t>
        </is>
      </c>
      <c r="K28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1">
    <mergeCell ref="K5:K8"/>
    <mergeCell ref="C5:C8"/>
    <mergeCell ref="M5:M8"/>
    <mergeCell ref="B16:C16"/>
    <mergeCell ref="B22:C22"/>
    <mergeCell ref="B18:C18"/>
    <mergeCell ref="E5:E8"/>
    <mergeCell ref="F5:F8"/>
    <mergeCell ref="B21:C21"/>
    <mergeCell ref="B23:C23"/>
    <mergeCell ref="B17:C17"/>
    <mergeCell ref="L5:L8"/>
    <mergeCell ref="G5:G8"/>
    <mergeCell ref="I5:I8"/>
    <mergeCell ref="B19:C19"/>
    <mergeCell ref="A5:A8"/>
    <mergeCell ref="D5:D8"/>
    <mergeCell ref="B5:B8"/>
    <mergeCell ref="B20:C20"/>
    <mergeCell ref="H5:H8"/>
    <mergeCell ref="J5:J8"/>
  </mergeCells>
  <conditionalFormatting sqref="A9:LH13">
    <cfRule type="expression" priority="1" dxfId="0" stopIfTrue="1">
      <formula>$B9=""</formula>
    </cfRule>
  </conditionalFormatting>
  <conditionalFormatting sqref="D9:J13">
    <cfRule type="expression" priority="2" dxfId="2">
      <formula>D9="ปกติ"</formula>
    </cfRule>
    <cfRule type="expression" priority="3" dxfId="11">
      <formula>D9="เสี่ยง"</formula>
    </cfRule>
    <cfRule type="expression" priority="4" dxfId="1">
      <formula>D9="มีปัญหา"</formula>
    </cfRule>
  </conditionalFormatting>
  <conditionalFormatting sqref="C9:C13">
    <cfRule type="expression" priority="5" dxfId="22">
      <formula>LEFT(C9,1)="•"</formula>
    </cfRule>
  </conditionalFormatting>
  <dataValidations count="2">
    <dataValidation sqref="D9:I13" showDropDown="0" showInputMessage="0" showErrorMessage="0" allowBlank="1" errorTitle="ตรวจสอบข้อมูล" error="ข้อมูลไม่ถูกต้อง กรุณาเลือกจากรายการ" type="list">
      <formula1>"ปกติ,เสี่ยง,มีปัญหา"</formula1>
    </dataValidation>
    <dataValidation sqref="L9:L13" showDropDown="0" showInputMessage="0" showErrorMessage="0" allowBlank="1" errorTitle="ตรวจสอบข้อมูล" error="ข้อมูลไม่ถูกต้อง กรุณาเลือกจากรายการ" type="list">
      <formula1>"ครูประจำชั้น,ครูแนะแนว/ดูแลช่วยเหลือ,ผู้บริหาร,ผู้ปกครอง,หน่วยงานสาธารณสุข,หน่วยงานภายนอก"</formula1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44.xml><?xml version="1.0" encoding="utf-8"?>
<worksheet xmlns="http://schemas.openxmlformats.org/spreadsheetml/2006/main">
  <sheetPr>
    <tabColor rgb="0059CDAA"/>
    <outlinePr summaryBelow="1" summaryRight="1"/>
    <pageSetUpPr fitToPage="1"/>
  </sheetPr>
  <dimension ref="A1:AV21"/>
  <sheetViews>
    <sheetView tabSelected="0" workbookViewId="0">
      <selection activeCell="A1" sqref="A1"/>
    </sheetView>
  </sheetViews>
  <sheetFormatPr baseColWidth="8" defaultRowHeight="15"/>
  <cols>
    <col width="5.5" customWidth="1" min="1" max="1"/>
    <col width="25" customWidth="1" min="2" max="2"/>
    <col width="1.5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6.5" customWidth="1" min="35" max="35"/>
    <col width="6.5" customWidth="1" min="36" max="36"/>
    <col width="6.5" customWidth="1" min="37" max="37"/>
    <col width="3" customWidth="1" min="38" max="38"/>
    <col width="16" customWidth="1" min="39" max="39"/>
    <col width="30" customWidth="1" min="40" max="40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</cols>
  <sheetData>
    <row r="1" ht="46" customHeight="1">
      <c r="A1" s="824" t="inlineStr">
        <is>
          <t>🏠</t>
        </is>
      </c>
      <c r="B1" s="825">
        <f>"แบบบันทึก"&amp;$AN$3&amp;"   เดือน"&amp;$AN$4&amp;"  พ.ศ. "&amp;('ข้อมูลโรงเรียน'!$C$12+IF($AP1&lt;=8,0,1))&amp;"   (ภาคเรียนที่ "&amp;$AP$2&amp;")"</f>
        <v/>
      </c>
      <c r="C1" s="826" t="n"/>
      <c r="D1" s="826" t="n"/>
      <c r="E1" s="826" t="n"/>
      <c r="F1" s="826" t="n"/>
      <c r="G1" s="826" t="n"/>
      <c r="H1" s="826" t="n"/>
      <c r="I1" s="826" t="n"/>
      <c r="J1" s="826" t="n"/>
      <c r="K1" s="826" t="n"/>
      <c r="L1" s="826" t="n"/>
      <c r="M1" s="826" t="n"/>
      <c r="N1" s="826" t="n"/>
      <c r="O1" s="826" t="n"/>
      <c r="P1" s="826" t="n"/>
      <c r="Q1" s="826" t="n"/>
      <c r="R1" s="826" t="n"/>
      <c r="S1" s="826" t="n"/>
      <c r="T1" s="826" t="n"/>
      <c r="U1" s="826" t="n"/>
      <c r="V1" s="826" t="n"/>
      <c r="W1" s="826" t="n"/>
      <c r="X1" s="826" t="n"/>
      <c r="Y1" s="826" t="n"/>
      <c r="Z1" s="826" t="n"/>
      <c r="AA1" s="826" t="n"/>
      <c r="AB1" s="826" t="n"/>
      <c r="AC1" s="826" t="n"/>
      <c r="AD1" s="826" t="n"/>
      <c r="AE1" s="826" t="n"/>
      <c r="AF1" s="826" t="n"/>
      <c r="AG1" s="826" t="n"/>
      <c r="AH1" s="826" t="n"/>
      <c r="AI1" s="826" t="n"/>
      <c r="AJ1" s="826" t="n"/>
      <c r="AK1" s="826" t="n"/>
      <c r="AM1" s="827" t="inlineStr">
        <is>
          <t>เลือกสิ่งที่ต้องการพิมพ์</t>
        </is>
      </c>
      <c r="AP1">
        <f>IFERROR(MATCH($AN$4,{"พฤษภาคม","มิถุนายน","กรกฎาคม","สิงหาคม","กันยายน","ตุลาคม","พฤศจิกายน","ธันวาคม","มกราคม","กุมภาพันธ์","มีนาคม"},0),1)</f>
        <v/>
      </c>
    </row>
    <row r="2" ht="20" customHeight="1">
      <c r="A2" s="826" t="n"/>
      <c r="B2" s="82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826" t="n"/>
      <c r="D2" s="826" t="n"/>
      <c r="E2" s="826" t="n"/>
      <c r="F2" s="826" t="n"/>
      <c r="G2" s="826" t="n"/>
      <c r="H2" s="826" t="n"/>
      <c r="I2" s="826" t="n"/>
      <c r="J2" s="826" t="n"/>
      <c r="K2" s="826" t="n"/>
      <c r="L2" s="826" t="n"/>
      <c r="M2" s="826" t="n"/>
      <c r="N2" s="826" t="n"/>
      <c r="O2" s="826" t="n"/>
      <c r="P2" s="826" t="n"/>
      <c r="Q2" s="826" t="n"/>
      <c r="R2" s="826" t="n"/>
      <c r="S2" s="826" t="n"/>
      <c r="T2" s="826" t="n"/>
      <c r="U2" s="826" t="n"/>
      <c r="V2" s="826" t="n"/>
      <c r="W2" s="826" t="n"/>
      <c r="X2" s="826" t="n"/>
      <c r="Y2" s="826" t="n"/>
      <c r="Z2" s="826" t="n"/>
      <c r="AA2" s="826" t="n"/>
      <c r="AB2" s="826" t="n"/>
      <c r="AC2" s="826" t="n"/>
      <c r="AD2" s="826" t="n"/>
      <c r="AE2" s="826" t="n"/>
      <c r="AF2" s="826" t="n"/>
      <c r="AG2" s="826" t="n"/>
      <c r="AH2" s="826" t="n"/>
      <c r="AI2" s="826" t="n"/>
      <c r="AJ2" s="826" t="n"/>
      <c r="AK2" s="826" t="n"/>
      <c r="AP2">
        <f>IF(AP1&lt;=6,1,2)</f>
        <v/>
      </c>
      <c r="AQ2" t="inlineStr">
        <is>
          <t>การมาเรียน</t>
        </is>
      </c>
      <c r="AR2" t="inlineStr">
        <is>
          <t>มาเรียน</t>
        </is>
      </c>
      <c r="AS2" t="inlineStr">
        <is>
          <t>มา</t>
        </is>
      </c>
      <c r="AT2" t="inlineStr">
        <is>
          <t>ลา ป่วย</t>
        </is>
      </c>
      <c r="AU2" t="inlineStr">
        <is>
          <t>ขาด</t>
        </is>
      </c>
      <c r="AV2" t="inlineStr">
        <is>
          <t>📋</t>
        </is>
      </c>
    </row>
    <row r="3">
      <c r="AM3" s="829" t="inlineStr">
        <is>
          <t>แบบบันทึก</t>
        </is>
      </c>
      <c r="AN3" s="830" t="inlineStr">
        <is>
          <t>การมาเรียน</t>
        </is>
      </c>
      <c r="AP3">
        <f>IF(AP2=1,AP1-1,AP1-7)</f>
        <v/>
      </c>
      <c r="AQ3" t="inlineStr">
        <is>
          <t>การดื่มนม</t>
        </is>
      </c>
      <c r="AR3" t="inlineStr">
        <is>
          <t>ดื่มนม</t>
        </is>
      </c>
      <c r="AS3" t="inlineStr">
        <is>
          <t>ดื่ม</t>
        </is>
      </c>
      <c r="AT3" t="inlineStr">
        <is>
          <t>ไม่ ดื่ม</t>
        </is>
      </c>
      <c r="AU3" t="inlineStr">
        <is>
          <t>ร้อยละ</t>
        </is>
      </c>
      <c r="AV3" t="inlineStr">
        <is>
          <t>🥛</t>
        </is>
      </c>
    </row>
    <row r="4" hidden="1">
      <c r="D4">
        <f>INDEX('ปฏิทิน'!$A$1:$HA$8,IF($AP$2=1,2,6),$AP$4+0)</f>
        <v/>
      </c>
      <c r="E4">
        <f>INDEX('ปฏิทิน'!$A$1:$HA$8,IF($AP$2=1,2,6),$AP$4+1)</f>
        <v/>
      </c>
      <c r="F4">
        <f>INDEX('ปฏิทิน'!$A$1:$HA$8,IF($AP$2=1,2,6),$AP$4+2)</f>
        <v/>
      </c>
      <c r="G4">
        <f>INDEX('ปฏิทิน'!$A$1:$HA$8,IF($AP$2=1,2,6),$AP$4+3)</f>
        <v/>
      </c>
      <c r="H4">
        <f>INDEX('ปฏิทิน'!$A$1:$HA$8,IF($AP$2=1,2,6),$AP$4+4)</f>
        <v/>
      </c>
      <c r="I4">
        <f>INDEX('ปฏิทิน'!$A$1:$HA$8,IF($AP$2=1,2,6),$AP$4+5)</f>
        <v/>
      </c>
      <c r="J4">
        <f>INDEX('ปฏิทิน'!$A$1:$HA$8,IF($AP$2=1,2,6),$AP$4+6)</f>
        <v/>
      </c>
      <c r="K4">
        <f>INDEX('ปฏิทิน'!$A$1:$HA$8,IF($AP$2=1,2,6),$AP$4+7)</f>
        <v/>
      </c>
      <c r="L4">
        <f>INDEX('ปฏิทิน'!$A$1:$HA$8,IF($AP$2=1,2,6),$AP$4+8)</f>
        <v/>
      </c>
      <c r="M4">
        <f>INDEX('ปฏิทิน'!$A$1:$HA$8,IF($AP$2=1,2,6),$AP$4+9)</f>
        <v/>
      </c>
      <c r="N4">
        <f>INDEX('ปฏิทิน'!$A$1:$HA$8,IF($AP$2=1,2,6),$AP$4+10)</f>
        <v/>
      </c>
      <c r="O4">
        <f>INDEX('ปฏิทิน'!$A$1:$HA$8,IF($AP$2=1,2,6),$AP$4+11)</f>
        <v/>
      </c>
      <c r="P4">
        <f>INDEX('ปฏิทิน'!$A$1:$HA$8,IF($AP$2=1,2,6),$AP$4+12)</f>
        <v/>
      </c>
      <c r="Q4">
        <f>INDEX('ปฏิทิน'!$A$1:$HA$8,IF($AP$2=1,2,6),$AP$4+13)</f>
        <v/>
      </c>
      <c r="R4">
        <f>INDEX('ปฏิทิน'!$A$1:$HA$8,IF($AP$2=1,2,6),$AP$4+14)</f>
        <v/>
      </c>
      <c r="S4">
        <f>INDEX('ปฏิทิน'!$A$1:$HA$8,IF($AP$2=1,2,6),$AP$4+15)</f>
        <v/>
      </c>
      <c r="T4">
        <f>INDEX('ปฏิทิน'!$A$1:$HA$8,IF($AP$2=1,2,6),$AP$4+16)</f>
        <v/>
      </c>
      <c r="U4">
        <f>INDEX('ปฏิทิน'!$A$1:$HA$8,IF($AP$2=1,2,6),$AP$4+17)</f>
        <v/>
      </c>
      <c r="V4">
        <f>INDEX('ปฏิทิน'!$A$1:$HA$8,IF($AP$2=1,2,6),$AP$4+18)</f>
        <v/>
      </c>
      <c r="W4">
        <f>INDEX('ปฏิทิน'!$A$1:$HA$8,IF($AP$2=1,2,6),$AP$4+19)</f>
        <v/>
      </c>
      <c r="X4">
        <f>INDEX('ปฏิทิน'!$A$1:$HA$8,IF($AP$2=1,2,6),$AP$4+20)</f>
        <v/>
      </c>
      <c r="Y4">
        <f>INDEX('ปฏิทิน'!$A$1:$HA$8,IF($AP$2=1,2,6),$AP$4+21)</f>
        <v/>
      </c>
      <c r="Z4">
        <f>INDEX('ปฏิทิน'!$A$1:$HA$8,IF($AP$2=1,2,6),$AP$4+22)</f>
        <v/>
      </c>
      <c r="AA4">
        <f>INDEX('ปฏิทิน'!$A$1:$HA$8,IF($AP$2=1,2,6),$AP$4+23)</f>
        <v/>
      </c>
      <c r="AB4">
        <f>INDEX('ปฏิทิน'!$A$1:$HA$8,IF($AP$2=1,2,6),$AP$4+24)</f>
        <v/>
      </c>
      <c r="AC4">
        <f>INDEX('ปฏิทิน'!$A$1:$HA$8,IF($AP$2=1,2,6),$AP$4+25)</f>
        <v/>
      </c>
      <c r="AD4">
        <f>INDEX('ปฏิทิน'!$A$1:$HA$8,IF($AP$2=1,2,6),$AP$4+26)</f>
        <v/>
      </c>
      <c r="AE4">
        <f>INDEX('ปฏิทิน'!$A$1:$HA$8,IF($AP$2=1,2,6),$AP$4+27)</f>
        <v/>
      </c>
      <c r="AF4">
        <f>INDEX('ปฏิทิน'!$A$1:$HA$8,IF($AP$2=1,2,6),$AP$4+28)</f>
        <v/>
      </c>
      <c r="AG4">
        <f>INDEX('ปฏิทิน'!$A$1:$HA$8,IF($AP$2=1,2,6),$AP$4+29)</f>
        <v/>
      </c>
      <c r="AH4">
        <f>INDEX('ปฏิทิน'!$A$1:$HA$8,IF($AP$2=1,2,6),$AP$4+30)</f>
        <v/>
      </c>
      <c r="AI4" t="inlineStr">
        <is>
          <t>s</t>
        </is>
      </c>
      <c r="AJ4" t="inlineStr">
        <is>
          <t>s</t>
        </is>
      </c>
      <c r="AK4" t="inlineStr">
        <is>
          <t>s</t>
        </is>
      </c>
      <c r="AM4" s="829" t="inlineStr">
        <is>
          <t>เดือน</t>
        </is>
      </c>
      <c r="AN4" s="830" t="inlineStr">
        <is>
          <t>พฤษภาคม</t>
        </is>
      </c>
      <c r="AP4">
        <f>4+AP3*34</f>
        <v/>
      </c>
      <c r="AQ4" t="inlineStr">
        <is>
          <t>การแปรงฟัน</t>
        </is>
      </c>
      <c r="AR4" t="inlineStr">
        <is>
          <t>แปรงฟัน</t>
        </is>
      </c>
      <c r="AS4" t="inlineStr">
        <is>
          <t>แปรง</t>
        </is>
      </c>
      <c r="AT4" t="inlineStr">
        <is>
          <t>ไม่ แปรง</t>
        </is>
      </c>
      <c r="AU4" t="inlineStr">
        <is>
          <t>ร้อยละ</t>
        </is>
      </c>
      <c r="AV4" t="inlineStr">
        <is>
          <t>🪥</t>
        </is>
      </c>
    </row>
    <row r="5" ht="22" customHeight="1">
      <c r="A5" s="652" t="inlineStr">
        <is>
          <t>เลขที่</t>
        </is>
      </c>
      <c r="B5" s="652" t="inlineStr">
        <is>
          <t>ชื่อ - สกุล</t>
        </is>
      </c>
      <c r="C5" s="831" t="inlineStr"/>
      <c r="D5" s="832">
        <f>"เดือน"&amp;$AN$4</f>
        <v/>
      </c>
      <c r="AI5" s="833" t="inlineStr">
        <is>
          <t>สรุปเดือนนี้</t>
        </is>
      </c>
      <c r="AP5">
        <f>IFERROR(INDEX($AR$2:$AR$11,MATCH($AN$3,$AQ$2:$AQ$11,0)),"มาเรียน")&amp;"-ภ"&amp;AP2</f>
        <v/>
      </c>
      <c r="AQ5" t="inlineStr">
        <is>
          <t>การออมเงิน</t>
        </is>
      </c>
      <c r="AR5" t="inlineStr">
        <is>
          <t>ออมเงิน</t>
        </is>
      </c>
      <c r="AS5" t="inlineStr">
        <is>
          <t>ฝาก</t>
        </is>
      </c>
      <c r="AT5" t="inlineStr">
        <is>
          <t>ถอน</t>
        </is>
      </c>
      <c r="AU5" t="inlineStr">
        <is>
          <t>คง เหลือ</t>
        </is>
      </c>
      <c r="AV5" t="inlineStr">
        <is>
          <t>🐷</t>
        </is>
      </c>
    </row>
    <row r="6">
      <c r="D6" s="653">
        <f>IFERROR(DAY(INDEX('ปฏิทิน'!$A$1:$HA$8,IF($AP$2=1,1,5),$AP$4+0)),"")</f>
        <v/>
      </c>
      <c r="E6" s="653">
        <f>IFERROR(DAY(INDEX('ปฏิทิน'!$A$1:$HA$8,IF($AP$2=1,1,5),$AP$4+1)),"")</f>
        <v/>
      </c>
      <c r="F6" s="653">
        <f>IFERROR(DAY(INDEX('ปฏิทิน'!$A$1:$HA$8,IF($AP$2=1,1,5),$AP$4+2)),"")</f>
        <v/>
      </c>
      <c r="G6" s="653">
        <f>IFERROR(DAY(INDEX('ปฏิทิน'!$A$1:$HA$8,IF($AP$2=1,1,5),$AP$4+3)),"")</f>
        <v/>
      </c>
      <c r="H6" s="653">
        <f>IFERROR(DAY(INDEX('ปฏิทิน'!$A$1:$HA$8,IF($AP$2=1,1,5),$AP$4+4)),"")</f>
        <v/>
      </c>
      <c r="I6" s="653">
        <f>IFERROR(DAY(INDEX('ปฏิทิน'!$A$1:$HA$8,IF($AP$2=1,1,5),$AP$4+5)),"")</f>
        <v/>
      </c>
      <c r="J6" s="653">
        <f>IFERROR(DAY(INDEX('ปฏิทิน'!$A$1:$HA$8,IF($AP$2=1,1,5),$AP$4+6)),"")</f>
        <v/>
      </c>
      <c r="K6" s="653">
        <f>IFERROR(DAY(INDEX('ปฏิทิน'!$A$1:$HA$8,IF($AP$2=1,1,5),$AP$4+7)),"")</f>
        <v/>
      </c>
      <c r="L6" s="653">
        <f>IFERROR(DAY(INDEX('ปฏิทิน'!$A$1:$HA$8,IF($AP$2=1,1,5),$AP$4+8)),"")</f>
        <v/>
      </c>
      <c r="M6" s="653">
        <f>IFERROR(DAY(INDEX('ปฏิทิน'!$A$1:$HA$8,IF($AP$2=1,1,5),$AP$4+9)),"")</f>
        <v/>
      </c>
      <c r="N6" s="653">
        <f>IFERROR(DAY(INDEX('ปฏิทิน'!$A$1:$HA$8,IF($AP$2=1,1,5),$AP$4+10)),"")</f>
        <v/>
      </c>
      <c r="O6" s="653">
        <f>IFERROR(DAY(INDEX('ปฏิทิน'!$A$1:$HA$8,IF($AP$2=1,1,5),$AP$4+11)),"")</f>
        <v/>
      </c>
      <c r="P6" s="653">
        <f>IFERROR(DAY(INDEX('ปฏิทิน'!$A$1:$HA$8,IF($AP$2=1,1,5),$AP$4+12)),"")</f>
        <v/>
      </c>
      <c r="Q6" s="653">
        <f>IFERROR(DAY(INDEX('ปฏิทิน'!$A$1:$HA$8,IF($AP$2=1,1,5),$AP$4+13)),"")</f>
        <v/>
      </c>
      <c r="R6" s="653">
        <f>IFERROR(DAY(INDEX('ปฏิทิน'!$A$1:$HA$8,IF($AP$2=1,1,5),$AP$4+14)),"")</f>
        <v/>
      </c>
      <c r="S6" s="653">
        <f>IFERROR(DAY(INDEX('ปฏิทิน'!$A$1:$HA$8,IF($AP$2=1,1,5),$AP$4+15)),"")</f>
        <v/>
      </c>
      <c r="T6" s="653">
        <f>IFERROR(DAY(INDEX('ปฏิทิน'!$A$1:$HA$8,IF($AP$2=1,1,5),$AP$4+16)),"")</f>
        <v/>
      </c>
      <c r="U6" s="653">
        <f>IFERROR(DAY(INDEX('ปฏิทิน'!$A$1:$HA$8,IF($AP$2=1,1,5),$AP$4+17)),"")</f>
        <v/>
      </c>
      <c r="V6" s="653">
        <f>IFERROR(DAY(INDEX('ปฏิทิน'!$A$1:$HA$8,IF($AP$2=1,1,5),$AP$4+18)),"")</f>
        <v/>
      </c>
      <c r="W6" s="653">
        <f>IFERROR(DAY(INDEX('ปฏิทิน'!$A$1:$HA$8,IF($AP$2=1,1,5),$AP$4+19)),"")</f>
        <v/>
      </c>
      <c r="X6" s="653">
        <f>IFERROR(DAY(INDEX('ปฏิทิน'!$A$1:$HA$8,IF($AP$2=1,1,5),$AP$4+20)),"")</f>
        <v/>
      </c>
      <c r="Y6" s="653">
        <f>IFERROR(DAY(INDEX('ปฏิทิน'!$A$1:$HA$8,IF($AP$2=1,1,5),$AP$4+21)),"")</f>
        <v/>
      </c>
      <c r="Z6" s="653">
        <f>IFERROR(DAY(INDEX('ปฏิทิน'!$A$1:$HA$8,IF($AP$2=1,1,5),$AP$4+22)),"")</f>
        <v/>
      </c>
      <c r="AA6" s="653">
        <f>IFERROR(DAY(INDEX('ปฏิทิน'!$A$1:$HA$8,IF($AP$2=1,1,5),$AP$4+23)),"")</f>
        <v/>
      </c>
      <c r="AB6" s="653">
        <f>IFERROR(DAY(INDEX('ปฏิทิน'!$A$1:$HA$8,IF($AP$2=1,1,5),$AP$4+24)),"")</f>
        <v/>
      </c>
      <c r="AC6" s="653">
        <f>IFERROR(DAY(INDEX('ปฏิทิน'!$A$1:$HA$8,IF($AP$2=1,1,5),$AP$4+25)),"")</f>
        <v/>
      </c>
      <c r="AD6" s="653">
        <f>IFERROR(DAY(INDEX('ปฏิทิน'!$A$1:$HA$8,IF($AP$2=1,1,5),$AP$4+26)),"")</f>
        <v/>
      </c>
      <c r="AE6" s="653">
        <f>IFERROR(DAY(INDEX('ปฏิทิน'!$A$1:$HA$8,IF($AP$2=1,1,5),$AP$4+27)),"")</f>
        <v/>
      </c>
      <c r="AF6" s="653">
        <f>IFERROR(DAY(INDEX('ปฏิทิน'!$A$1:$HA$8,IF($AP$2=1,1,5),$AP$4+28)),"")</f>
        <v/>
      </c>
      <c r="AG6" s="653">
        <f>IFERROR(DAY(INDEX('ปฏิทิน'!$A$1:$HA$8,IF($AP$2=1,1,5),$AP$4+29)),"")</f>
        <v/>
      </c>
      <c r="AH6" s="653">
        <f>IFERROR(DAY(INDEX('ปฏิทิน'!$A$1:$HA$8,IF($AP$2=1,1,5),$AP$4+30)),"")</f>
        <v/>
      </c>
      <c r="AI6" s="834">
        <f>INDEX($AS$2:$AS$11,$AP$6)</f>
        <v/>
      </c>
      <c r="AJ6" s="659">
        <f>INDEX($AT$2:$AT$11,$AP$6)</f>
        <v/>
      </c>
      <c r="AK6" s="658">
        <f>INDEX($AU$2:$AU$11,$AP$6)</f>
        <v/>
      </c>
      <c r="AM6" s="189" t="inlineStr">
        <is>
          <t>1) เลือกแบบบันทึก และเดือน ด้วยลูกศร</t>
        </is>
      </c>
      <c r="AP6">
        <f>IFERROR(MATCH($AN$3,$AQ$2:$AQ$11,0),1)</f>
        <v/>
      </c>
      <c r="AQ6" t="inlineStr">
        <is>
          <t>การรับประทานอาหารกลางวัน</t>
        </is>
      </c>
      <c r="AR6" t="inlineStr">
        <is>
          <t>อาหารกลางวัน</t>
        </is>
      </c>
      <c r="AS6" t="inlineStr">
        <is>
          <t>หมด</t>
        </is>
      </c>
      <c r="AT6" t="inlineStr">
        <is>
          <t>เหลือ</t>
        </is>
      </c>
      <c r="AU6" t="inlineStr">
        <is>
          <t>ไม่ ทาน</t>
        </is>
      </c>
      <c r="AV6" t="inlineStr">
        <is>
          <t>🍱</t>
        </is>
      </c>
    </row>
    <row r="7">
      <c r="D7" s="661">
        <f>IFERROR(CHOOSE(WEEKDAY(INDEX('ปฏิทิน'!$A$1:$HA$8,IF($AP$2=1,1,5),$AP$4+0),2),"จ.","อ.","พ.","พฤ.","ศ.","ส.","อา."),"")</f>
        <v/>
      </c>
      <c r="E7" s="661">
        <f>IFERROR(CHOOSE(WEEKDAY(INDEX('ปฏิทิน'!$A$1:$HA$8,IF($AP$2=1,1,5),$AP$4+1),2),"จ.","อ.","พ.","พฤ.","ศ.","ส.","อา."),"")</f>
        <v/>
      </c>
      <c r="F7" s="661">
        <f>IFERROR(CHOOSE(WEEKDAY(INDEX('ปฏิทิน'!$A$1:$HA$8,IF($AP$2=1,1,5),$AP$4+2),2),"จ.","อ.","พ.","พฤ.","ศ.","ส.","อา."),"")</f>
        <v/>
      </c>
      <c r="G7" s="661">
        <f>IFERROR(CHOOSE(WEEKDAY(INDEX('ปฏิทิน'!$A$1:$HA$8,IF($AP$2=1,1,5),$AP$4+3),2),"จ.","อ.","พ.","พฤ.","ศ.","ส.","อา."),"")</f>
        <v/>
      </c>
      <c r="H7" s="661">
        <f>IFERROR(CHOOSE(WEEKDAY(INDEX('ปฏิทิน'!$A$1:$HA$8,IF($AP$2=1,1,5),$AP$4+4),2),"จ.","อ.","พ.","พฤ.","ศ.","ส.","อา."),"")</f>
        <v/>
      </c>
      <c r="I7" s="661">
        <f>IFERROR(CHOOSE(WEEKDAY(INDEX('ปฏิทิน'!$A$1:$HA$8,IF($AP$2=1,1,5),$AP$4+5),2),"จ.","อ.","พ.","พฤ.","ศ.","ส.","อา."),"")</f>
        <v/>
      </c>
      <c r="J7" s="661">
        <f>IFERROR(CHOOSE(WEEKDAY(INDEX('ปฏิทิน'!$A$1:$HA$8,IF($AP$2=1,1,5),$AP$4+6),2),"จ.","อ.","พ.","พฤ.","ศ.","ส.","อา."),"")</f>
        <v/>
      </c>
      <c r="K7" s="661">
        <f>IFERROR(CHOOSE(WEEKDAY(INDEX('ปฏิทิน'!$A$1:$HA$8,IF($AP$2=1,1,5),$AP$4+7),2),"จ.","อ.","พ.","พฤ.","ศ.","ส.","อา."),"")</f>
        <v/>
      </c>
      <c r="L7" s="661">
        <f>IFERROR(CHOOSE(WEEKDAY(INDEX('ปฏิทิน'!$A$1:$HA$8,IF($AP$2=1,1,5),$AP$4+8),2),"จ.","อ.","พ.","พฤ.","ศ.","ส.","อา."),"")</f>
        <v/>
      </c>
      <c r="M7" s="661">
        <f>IFERROR(CHOOSE(WEEKDAY(INDEX('ปฏิทิน'!$A$1:$HA$8,IF($AP$2=1,1,5),$AP$4+9),2),"จ.","อ.","พ.","พฤ.","ศ.","ส.","อา."),"")</f>
        <v/>
      </c>
      <c r="N7" s="661">
        <f>IFERROR(CHOOSE(WEEKDAY(INDEX('ปฏิทิน'!$A$1:$HA$8,IF($AP$2=1,1,5),$AP$4+10),2),"จ.","อ.","พ.","พฤ.","ศ.","ส.","อา."),"")</f>
        <v/>
      </c>
      <c r="O7" s="661">
        <f>IFERROR(CHOOSE(WEEKDAY(INDEX('ปฏิทิน'!$A$1:$HA$8,IF($AP$2=1,1,5),$AP$4+11),2),"จ.","อ.","พ.","พฤ.","ศ.","ส.","อา."),"")</f>
        <v/>
      </c>
      <c r="P7" s="661">
        <f>IFERROR(CHOOSE(WEEKDAY(INDEX('ปฏิทิน'!$A$1:$HA$8,IF($AP$2=1,1,5),$AP$4+12),2),"จ.","อ.","พ.","พฤ.","ศ.","ส.","อา."),"")</f>
        <v/>
      </c>
      <c r="Q7" s="661">
        <f>IFERROR(CHOOSE(WEEKDAY(INDEX('ปฏิทิน'!$A$1:$HA$8,IF($AP$2=1,1,5),$AP$4+13),2),"จ.","อ.","พ.","พฤ.","ศ.","ส.","อา."),"")</f>
        <v/>
      </c>
      <c r="R7" s="661">
        <f>IFERROR(CHOOSE(WEEKDAY(INDEX('ปฏิทิน'!$A$1:$HA$8,IF($AP$2=1,1,5),$AP$4+14),2),"จ.","อ.","พ.","พฤ.","ศ.","ส.","อา."),"")</f>
        <v/>
      </c>
      <c r="S7" s="661">
        <f>IFERROR(CHOOSE(WEEKDAY(INDEX('ปฏิทิน'!$A$1:$HA$8,IF($AP$2=1,1,5),$AP$4+15),2),"จ.","อ.","พ.","พฤ.","ศ.","ส.","อา."),"")</f>
        <v/>
      </c>
      <c r="T7" s="661">
        <f>IFERROR(CHOOSE(WEEKDAY(INDEX('ปฏิทิน'!$A$1:$HA$8,IF($AP$2=1,1,5),$AP$4+16),2),"จ.","อ.","พ.","พฤ.","ศ.","ส.","อา."),"")</f>
        <v/>
      </c>
      <c r="U7" s="661">
        <f>IFERROR(CHOOSE(WEEKDAY(INDEX('ปฏิทิน'!$A$1:$HA$8,IF($AP$2=1,1,5),$AP$4+17),2),"จ.","อ.","พ.","พฤ.","ศ.","ส.","อา."),"")</f>
        <v/>
      </c>
      <c r="V7" s="661">
        <f>IFERROR(CHOOSE(WEEKDAY(INDEX('ปฏิทิน'!$A$1:$HA$8,IF($AP$2=1,1,5),$AP$4+18),2),"จ.","อ.","พ.","พฤ.","ศ.","ส.","อา."),"")</f>
        <v/>
      </c>
      <c r="W7" s="661">
        <f>IFERROR(CHOOSE(WEEKDAY(INDEX('ปฏิทิน'!$A$1:$HA$8,IF($AP$2=1,1,5),$AP$4+19),2),"จ.","อ.","พ.","พฤ.","ศ.","ส.","อา."),"")</f>
        <v/>
      </c>
      <c r="X7" s="661">
        <f>IFERROR(CHOOSE(WEEKDAY(INDEX('ปฏิทิน'!$A$1:$HA$8,IF($AP$2=1,1,5),$AP$4+20),2),"จ.","อ.","พ.","พฤ.","ศ.","ส.","อา."),"")</f>
        <v/>
      </c>
      <c r="Y7" s="661">
        <f>IFERROR(CHOOSE(WEEKDAY(INDEX('ปฏิทิน'!$A$1:$HA$8,IF($AP$2=1,1,5),$AP$4+21),2),"จ.","อ.","พ.","พฤ.","ศ.","ส.","อา."),"")</f>
        <v/>
      </c>
      <c r="Z7" s="661">
        <f>IFERROR(CHOOSE(WEEKDAY(INDEX('ปฏิทิน'!$A$1:$HA$8,IF($AP$2=1,1,5),$AP$4+22),2),"จ.","อ.","พ.","พฤ.","ศ.","ส.","อา."),"")</f>
        <v/>
      </c>
      <c r="AA7" s="661">
        <f>IFERROR(CHOOSE(WEEKDAY(INDEX('ปฏิทิน'!$A$1:$HA$8,IF($AP$2=1,1,5),$AP$4+23),2),"จ.","อ.","พ.","พฤ.","ศ.","ส.","อา."),"")</f>
        <v/>
      </c>
      <c r="AB7" s="661">
        <f>IFERROR(CHOOSE(WEEKDAY(INDEX('ปฏิทิน'!$A$1:$HA$8,IF($AP$2=1,1,5),$AP$4+24),2),"จ.","อ.","พ.","พฤ.","ศ.","ส.","อา."),"")</f>
        <v/>
      </c>
      <c r="AC7" s="661">
        <f>IFERROR(CHOOSE(WEEKDAY(INDEX('ปฏิทิน'!$A$1:$HA$8,IF($AP$2=1,1,5),$AP$4+25),2),"จ.","อ.","พ.","พฤ.","ศ.","ส.","อา."),"")</f>
        <v/>
      </c>
      <c r="AD7" s="661">
        <f>IFERROR(CHOOSE(WEEKDAY(INDEX('ปฏิทิน'!$A$1:$HA$8,IF($AP$2=1,1,5),$AP$4+26),2),"จ.","อ.","พ.","พฤ.","ศ.","ส.","อา."),"")</f>
        <v/>
      </c>
      <c r="AE7" s="661">
        <f>IFERROR(CHOOSE(WEEKDAY(INDEX('ปฏิทิน'!$A$1:$HA$8,IF($AP$2=1,1,5),$AP$4+27),2),"จ.","อ.","พ.","พฤ.","ศ.","ส.","อา."),"")</f>
        <v/>
      </c>
      <c r="AF7" s="661">
        <f>IFERROR(CHOOSE(WEEKDAY(INDEX('ปฏิทิน'!$A$1:$HA$8,IF($AP$2=1,1,5),$AP$4+28),2),"จ.","อ.","พ.","พฤ.","ศ.","ส.","อา."),"")</f>
        <v/>
      </c>
      <c r="AG7" s="661">
        <f>IFERROR(CHOOSE(WEEKDAY(INDEX('ปฏิทิน'!$A$1:$HA$8,IF($AP$2=1,1,5),$AP$4+29),2),"จ.","อ.","พ.","พฤ.","ศ.","ส.","อา."),"")</f>
        <v/>
      </c>
      <c r="AH7" s="661">
        <f>IFERROR(CHOOSE(WEEKDAY(INDEX('ปฏิทิน'!$A$1:$HA$8,IF($AP$2=1,1,5),$AP$4+30),2),"จ.","อ.","พ.","พฤ.","ศ.","ส.","อา."),"")</f>
        <v/>
      </c>
      <c r="AI7" s="835" t="n"/>
      <c r="AM7" s="189" t="inlineStr">
        <is>
          <t>2) ตรวจดูตารางทางซ้าย</t>
        </is>
      </c>
      <c r="AP7">
        <f>"'"&amp;AP5&amp;"'!$A$1:$HA$23"</f>
        <v/>
      </c>
      <c r="AQ7" t="inlineStr">
        <is>
          <t>การทำความสะอาด</t>
        </is>
      </c>
      <c r="AR7" t="inlineStr">
        <is>
          <t>ทำความสะอาด</t>
        </is>
      </c>
      <c r="AS7" t="inlineStr">
        <is>
          <t>ทำ</t>
        </is>
      </c>
      <c r="AT7" t="inlineStr">
        <is>
          <t>ไม่ ทำ</t>
        </is>
      </c>
      <c r="AU7" t="inlineStr">
        <is>
          <t>ร้อยละ</t>
        </is>
      </c>
      <c r="AV7" t="inlineStr">
        <is>
          <t>🧹</t>
        </is>
      </c>
    </row>
    <row r="8" ht="64" customHeight="1">
      <c r="D8" s="265">
        <f>INDEX('ปฏิทิน'!$A$1:$HA$8,IF($AP$2=1,3,7),$AP$4+0)&amp;""</f>
        <v/>
      </c>
      <c r="E8" s="265">
        <f>INDEX('ปฏิทิน'!$A$1:$HA$8,IF($AP$2=1,3,7),$AP$4+1)&amp;""</f>
        <v/>
      </c>
      <c r="F8" s="265">
        <f>INDEX('ปฏิทิน'!$A$1:$HA$8,IF($AP$2=1,3,7),$AP$4+2)&amp;""</f>
        <v/>
      </c>
      <c r="G8" s="265">
        <f>INDEX('ปฏิทิน'!$A$1:$HA$8,IF($AP$2=1,3,7),$AP$4+3)&amp;""</f>
        <v/>
      </c>
      <c r="H8" s="265">
        <f>INDEX('ปฏิทิน'!$A$1:$HA$8,IF($AP$2=1,3,7),$AP$4+4)&amp;""</f>
        <v/>
      </c>
      <c r="I8" s="265">
        <f>INDEX('ปฏิทิน'!$A$1:$HA$8,IF($AP$2=1,3,7),$AP$4+5)&amp;""</f>
        <v/>
      </c>
      <c r="J8" s="265">
        <f>INDEX('ปฏิทิน'!$A$1:$HA$8,IF($AP$2=1,3,7),$AP$4+6)&amp;""</f>
        <v/>
      </c>
      <c r="K8" s="265">
        <f>INDEX('ปฏิทิน'!$A$1:$HA$8,IF($AP$2=1,3,7),$AP$4+7)&amp;""</f>
        <v/>
      </c>
      <c r="L8" s="265">
        <f>INDEX('ปฏิทิน'!$A$1:$HA$8,IF($AP$2=1,3,7),$AP$4+8)&amp;""</f>
        <v/>
      </c>
      <c r="M8" s="265">
        <f>INDEX('ปฏิทิน'!$A$1:$HA$8,IF($AP$2=1,3,7),$AP$4+9)&amp;""</f>
        <v/>
      </c>
      <c r="N8" s="265">
        <f>INDEX('ปฏิทิน'!$A$1:$HA$8,IF($AP$2=1,3,7),$AP$4+10)&amp;""</f>
        <v/>
      </c>
      <c r="O8" s="265">
        <f>INDEX('ปฏิทิน'!$A$1:$HA$8,IF($AP$2=1,3,7),$AP$4+11)&amp;""</f>
        <v/>
      </c>
      <c r="P8" s="265">
        <f>INDEX('ปฏิทิน'!$A$1:$HA$8,IF($AP$2=1,3,7),$AP$4+12)&amp;""</f>
        <v/>
      </c>
      <c r="Q8" s="265">
        <f>INDEX('ปฏิทิน'!$A$1:$HA$8,IF($AP$2=1,3,7),$AP$4+13)&amp;""</f>
        <v/>
      </c>
      <c r="R8" s="265">
        <f>INDEX('ปฏิทิน'!$A$1:$HA$8,IF($AP$2=1,3,7),$AP$4+14)&amp;""</f>
        <v/>
      </c>
      <c r="S8" s="265">
        <f>INDEX('ปฏิทิน'!$A$1:$HA$8,IF($AP$2=1,3,7),$AP$4+15)&amp;""</f>
        <v/>
      </c>
      <c r="T8" s="265">
        <f>INDEX('ปฏิทิน'!$A$1:$HA$8,IF($AP$2=1,3,7),$AP$4+16)&amp;""</f>
        <v/>
      </c>
      <c r="U8" s="265">
        <f>INDEX('ปฏิทิน'!$A$1:$HA$8,IF($AP$2=1,3,7),$AP$4+17)&amp;""</f>
        <v/>
      </c>
      <c r="V8" s="265">
        <f>INDEX('ปฏิทิน'!$A$1:$HA$8,IF($AP$2=1,3,7),$AP$4+18)&amp;""</f>
        <v/>
      </c>
      <c r="W8" s="265">
        <f>INDEX('ปฏิทิน'!$A$1:$HA$8,IF($AP$2=1,3,7),$AP$4+19)&amp;""</f>
        <v/>
      </c>
      <c r="X8" s="265">
        <f>INDEX('ปฏิทิน'!$A$1:$HA$8,IF($AP$2=1,3,7),$AP$4+20)&amp;""</f>
        <v/>
      </c>
      <c r="Y8" s="265">
        <f>INDEX('ปฏิทิน'!$A$1:$HA$8,IF($AP$2=1,3,7),$AP$4+21)&amp;""</f>
        <v/>
      </c>
      <c r="Z8" s="265">
        <f>INDEX('ปฏิทิน'!$A$1:$HA$8,IF($AP$2=1,3,7),$AP$4+22)&amp;""</f>
        <v/>
      </c>
      <c r="AA8" s="265">
        <f>INDEX('ปฏิทิน'!$A$1:$HA$8,IF($AP$2=1,3,7),$AP$4+23)&amp;""</f>
        <v/>
      </c>
      <c r="AB8" s="265">
        <f>INDEX('ปฏิทิน'!$A$1:$HA$8,IF($AP$2=1,3,7),$AP$4+24)&amp;""</f>
        <v/>
      </c>
      <c r="AC8" s="265">
        <f>INDEX('ปฏิทิน'!$A$1:$HA$8,IF($AP$2=1,3,7),$AP$4+25)&amp;""</f>
        <v/>
      </c>
      <c r="AD8" s="265">
        <f>INDEX('ปฏิทิน'!$A$1:$HA$8,IF($AP$2=1,3,7),$AP$4+26)&amp;""</f>
        <v/>
      </c>
      <c r="AE8" s="265">
        <f>INDEX('ปฏิทิน'!$A$1:$HA$8,IF($AP$2=1,3,7),$AP$4+27)&amp;""</f>
        <v/>
      </c>
      <c r="AF8" s="265">
        <f>INDEX('ปฏิทิน'!$A$1:$HA$8,IF($AP$2=1,3,7),$AP$4+28)&amp;""</f>
        <v/>
      </c>
      <c r="AG8" s="265">
        <f>INDEX('ปฏิทิน'!$A$1:$HA$8,IF($AP$2=1,3,7),$AP$4+29)&amp;""</f>
        <v/>
      </c>
      <c r="AH8" s="265">
        <f>INDEX('ปฏิทิน'!$A$1:$HA$8,IF($AP$2=1,3,7),$AP$4+30)&amp;""</f>
        <v/>
      </c>
      <c r="AI8" s="835" t="n"/>
      <c r="AM8" s="189" t="inlineStr">
        <is>
          <t>3) กด Ctrl + P แล้วพิมพ์ได้ทันที</t>
        </is>
      </c>
      <c r="AQ8" t="inlineStr">
        <is>
          <t>กิจกรรมหน้าเสาธง</t>
        </is>
      </c>
      <c r="AR8" t="inlineStr">
        <is>
          <t>เสาธง</t>
        </is>
      </c>
      <c r="AS8" t="inlineStr">
        <is>
          <t>ร่วม</t>
        </is>
      </c>
      <c r="AT8" t="inlineStr">
        <is>
          <t>ไม่ ร่วม</t>
        </is>
      </c>
      <c r="AU8" t="inlineStr">
        <is>
          <t>ร้อยละ</t>
        </is>
      </c>
      <c r="AV8" t="inlineStr">
        <is>
          <t>🚩</t>
        </is>
      </c>
    </row>
    <row r="9">
      <c r="A9" s="218" t="n">
        <v>1</v>
      </c>
      <c r="B9" s="219">
        <f>'ข้อมูลนักเรียน'!T9</f>
        <v/>
      </c>
      <c r="D9" s="146">
        <f>IFERROR(IF(INDEX(INDIRECT($AP$7),9,$AP$4+0)="","",INDEX(INDIRECT($AP$7),9,$AP$4+0)),"")</f>
        <v/>
      </c>
      <c r="E9" s="146">
        <f>IFERROR(IF(INDEX(INDIRECT($AP$7),9,$AP$4+1)="","",INDEX(INDIRECT($AP$7),9,$AP$4+1)),"")</f>
        <v/>
      </c>
      <c r="F9" s="146">
        <f>IFERROR(IF(INDEX(INDIRECT($AP$7),9,$AP$4+2)="","",INDEX(INDIRECT($AP$7),9,$AP$4+2)),"")</f>
        <v/>
      </c>
      <c r="G9" s="146">
        <f>IFERROR(IF(INDEX(INDIRECT($AP$7),9,$AP$4+3)="","",INDEX(INDIRECT($AP$7),9,$AP$4+3)),"")</f>
        <v/>
      </c>
      <c r="H9" s="146">
        <f>IFERROR(IF(INDEX(INDIRECT($AP$7),9,$AP$4+4)="","",INDEX(INDIRECT($AP$7),9,$AP$4+4)),"")</f>
        <v/>
      </c>
      <c r="I9" s="146">
        <f>IFERROR(IF(INDEX(INDIRECT($AP$7),9,$AP$4+5)="","",INDEX(INDIRECT($AP$7),9,$AP$4+5)),"")</f>
        <v/>
      </c>
      <c r="J9" s="146">
        <f>IFERROR(IF(INDEX(INDIRECT($AP$7),9,$AP$4+6)="","",INDEX(INDIRECT($AP$7),9,$AP$4+6)),"")</f>
        <v/>
      </c>
      <c r="K9" s="146">
        <f>IFERROR(IF(INDEX(INDIRECT($AP$7),9,$AP$4+7)="","",INDEX(INDIRECT($AP$7),9,$AP$4+7)),"")</f>
        <v/>
      </c>
      <c r="L9" s="146">
        <f>IFERROR(IF(INDEX(INDIRECT($AP$7),9,$AP$4+8)="","",INDEX(INDIRECT($AP$7),9,$AP$4+8)),"")</f>
        <v/>
      </c>
      <c r="M9" s="146">
        <f>IFERROR(IF(INDEX(INDIRECT($AP$7),9,$AP$4+9)="","",INDEX(INDIRECT($AP$7),9,$AP$4+9)),"")</f>
        <v/>
      </c>
      <c r="N9" s="146">
        <f>IFERROR(IF(INDEX(INDIRECT($AP$7),9,$AP$4+10)="","",INDEX(INDIRECT($AP$7),9,$AP$4+10)),"")</f>
        <v/>
      </c>
      <c r="O9" s="146">
        <f>IFERROR(IF(INDEX(INDIRECT($AP$7),9,$AP$4+11)="","",INDEX(INDIRECT($AP$7),9,$AP$4+11)),"")</f>
        <v/>
      </c>
      <c r="P9" s="146">
        <f>IFERROR(IF(INDEX(INDIRECT($AP$7),9,$AP$4+12)="","",INDEX(INDIRECT($AP$7),9,$AP$4+12)),"")</f>
        <v/>
      </c>
      <c r="Q9" s="146">
        <f>IFERROR(IF(INDEX(INDIRECT($AP$7),9,$AP$4+13)="","",INDEX(INDIRECT($AP$7),9,$AP$4+13)),"")</f>
        <v/>
      </c>
      <c r="R9" s="146">
        <f>IFERROR(IF(INDEX(INDIRECT($AP$7),9,$AP$4+14)="","",INDEX(INDIRECT($AP$7),9,$AP$4+14)),"")</f>
        <v/>
      </c>
      <c r="S9" s="146">
        <f>IFERROR(IF(INDEX(INDIRECT($AP$7),9,$AP$4+15)="","",INDEX(INDIRECT($AP$7),9,$AP$4+15)),"")</f>
        <v/>
      </c>
      <c r="T9" s="146">
        <f>IFERROR(IF(INDEX(INDIRECT($AP$7),9,$AP$4+16)="","",INDEX(INDIRECT($AP$7),9,$AP$4+16)),"")</f>
        <v/>
      </c>
      <c r="U9" s="146">
        <f>IFERROR(IF(INDEX(INDIRECT($AP$7),9,$AP$4+17)="","",INDEX(INDIRECT($AP$7),9,$AP$4+17)),"")</f>
        <v/>
      </c>
      <c r="V9" s="146">
        <f>IFERROR(IF(INDEX(INDIRECT($AP$7),9,$AP$4+18)="","",INDEX(INDIRECT($AP$7),9,$AP$4+18)),"")</f>
        <v/>
      </c>
      <c r="W9" s="146">
        <f>IFERROR(IF(INDEX(INDIRECT($AP$7),9,$AP$4+19)="","",INDEX(INDIRECT($AP$7),9,$AP$4+19)),"")</f>
        <v/>
      </c>
      <c r="X9" s="146">
        <f>IFERROR(IF(INDEX(INDIRECT($AP$7),9,$AP$4+20)="","",INDEX(INDIRECT($AP$7),9,$AP$4+20)),"")</f>
        <v/>
      </c>
      <c r="Y9" s="146">
        <f>IFERROR(IF(INDEX(INDIRECT($AP$7),9,$AP$4+21)="","",INDEX(INDIRECT($AP$7),9,$AP$4+21)),"")</f>
        <v/>
      </c>
      <c r="Z9" s="146">
        <f>IFERROR(IF(INDEX(INDIRECT($AP$7),9,$AP$4+22)="","",INDEX(INDIRECT($AP$7),9,$AP$4+22)),"")</f>
        <v/>
      </c>
      <c r="AA9" s="146">
        <f>IFERROR(IF(INDEX(INDIRECT($AP$7),9,$AP$4+23)="","",INDEX(INDIRECT($AP$7),9,$AP$4+23)),"")</f>
        <v/>
      </c>
      <c r="AB9" s="146">
        <f>IFERROR(IF(INDEX(INDIRECT($AP$7),9,$AP$4+24)="","",INDEX(INDIRECT($AP$7),9,$AP$4+24)),"")</f>
        <v/>
      </c>
      <c r="AC9" s="146">
        <f>IFERROR(IF(INDEX(INDIRECT($AP$7),9,$AP$4+25)="","",INDEX(INDIRECT($AP$7),9,$AP$4+25)),"")</f>
        <v/>
      </c>
      <c r="AD9" s="146">
        <f>IFERROR(IF(INDEX(INDIRECT($AP$7),9,$AP$4+26)="","",INDEX(INDIRECT($AP$7),9,$AP$4+26)),"")</f>
        <v/>
      </c>
      <c r="AE9" s="146">
        <f>IFERROR(IF(INDEX(INDIRECT($AP$7),9,$AP$4+27)="","",INDEX(INDIRECT($AP$7),9,$AP$4+27)),"")</f>
        <v/>
      </c>
      <c r="AF9" s="146">
        <f>IFERROR(IF(INDEX(INDIRECT($AP$7),9,$AP$4+28)="","",INDEX(INDIRECT($AP$7),9,$AP$4+28)),"")</f>
        <v/>
      </c>
      <c r="AG9" s="146">
        <f>IFERROR(IF(INDEX(INDIRECT($AP$7),9,$AP$4+29)="","",INDEX(INDIRECT($AP$7),9,$AP$4+29)),"")</f>
        <v/>
      </c>
      <c r="AH9" s="146">
        <f>IFERROR(IF(INDEX(INDIRECT($AP$7),9,$AP$4+30)="","",INDEX(INDIRECT($AP$7),9,$AP$4+30)),"")</f>
        <v/>
      </c>
      <c r="AI9" s="836">
        <f>IFERROR(IF(INDEX(INDIRECT($AP$7),9,$AP$4+31)="","",INDEX(INDIRECT($AP$7),9,$AP$4+31)),"")</f>
        <v/>
      </c>
      <c r="AJ9" s="837">
        <f>IFERROR(IF(INDEX(INDIRECT($AP$7),9,$AP$4+32)="","",INDEX(INDIRECT($AP$7),9,$AP$4+32)),"")</f>
        <v/>
      </c>
      <c r="AK9" s="720">
        <f>IFERROR(IF(INDEX(INDIRECT($AP$7),9,$AP$4+33)="","",INDEX(INDIRECT($AP$7),9,$AP$4+33)),"")</f>
        <v/>
      </c>
      <c r="AM9" s="189" t="inlineStr">
        <is>
          <t xml:space="preserve">   (ตั้งค่าไว้แล้ว A4 แนวนอน 1 หน้า)</t>
        </is>
      </c>
      <c r="AQ9" t="inlineStr">
        <is>
          <t>การออกกำลังกาย</t>
        </is>
      </c>
      <c r="AR9" t="inlineStr">
        <is>
          <t>ออกกำลังกาย</t>
        </is>
      </c>
      <c r="AS9" t="inlineStr">
        <is>
          <t>ทำ</t>
        </is>
      </c>
      <c r="AT9" t="inlineStr">
        <is>
          <t>ไม่ ทำ</t>
        </is>
      </c>
      <c r="AU9" t="inlineStr">
        <is>
          <t>ร้อยละ</t>
        </is>
      </c>
      <c r="AV9" t="inlineStr">
        <is>
          <t>⚽</t>
        </is>
      </c>
    </row>
    <row r="10">
      <c r="A10" s="226" t="n">
        <v>2</v>
      </c>
      <c r="B10" s="227">
        <f>'ข้อมูลนักเรียน'!T10</f>
        <v/>
      </c>
      <c r="D10" s="146">
        <f>IFERROR(IF(INDEX(INDIRECT($AP$7),10,$AP$4+0)="","",INDEX(INDIRECT($AP$7),10,$AP$4+0)),"")</f>
        <v/>
      </c>
      <c r="E10" s="146">
        <f>IFERROR(IF(INDEX(INDIRECT($AP$7),10,$AP$4+1)="","",INDEX(INDIRECT($AP$7),10,$AP$4+1)),"")</f>
        <v/>
      </c>
      <c r="F10" s="146">
        <f>IFERROR(IF(INDEX(INDIRECT($AP$7),10,$AP$4+2)="","",INDEX(INDIRECT($AP$7),10,$AP$4+2)),"")</f>
        <v/>
      </c>
      <c r="G10" s="146">
        <f>IFERROR(IF(INDEX(INDIRECT($AP$7),10,$AP$4+3)="","",INDEX(INDIRECT($AP$7),10,$AP$4+3)),"")</f>
        <v/>
      </c>
      <c r="H10" s="146">
        <f>IFERROR(IF(INDEX(INDIRECT($AP$7),10,$AP$4+4)="","",INDEX(INDIRECT($AP$7),10,$AP$4+4)),"")</f>
        <v/>
      </c>
      <c r="I10" s="146">
        <f>IFERROR(IF(INDEX(INDIRECT($AP$7),10,$AP$4+5)="","",INDEX(INDIRECT($AP$7),10,$AP$4+5)),"")</f>
        <v/>
      </c>
      <c r="J10" s="146">
        <f>IFERROR(IF(INDEX(INDIRECT($AP$7),10,$AP$4+6)="","",INDEX(INDIRECT($AP$7),10,$AP$4+6)),"")</f>
        <v/>
      </c>
      <c r="K10" s="146">
        <f>IFERROR(IF(INDEX(INDIRECT($AP$7),10,$AP$4+7)="","",INDEX(INDIRECT($AP$7),10,$AP$4+7)),"")</f>
        <v/>
      </c>
      <c r="L10" s="146">
        <f>IFERROR(IF(INDEX(INDIRECT($AP$7),10,$AP$4+8)="","",INDEX(INDIRECT($AP$7),10,$AP$4+8)),"")</f>
        <v/>
      </c>
      <c r="M10" s="146">
        <f>IFERROR(IF(INDEX(INDIRECT($AP$7),10,$AP$4+9)="","",INDEX(INDIRECT($AP$7),10,$AP$4+9)),"")</f>
        <v/>
      </c>
      <c r="N10" s="146">
        <f>IFERROR(IF(INDEX(INDIRECT($AP$7),10,$AP$4+10)="","",INDEX(INDIRECT($AP$7),10,$AP$4+10)),"")</f>
        <v/>
      </c>
      <c r="O10" s="146">
        <f>IFERROR(IF(INDEX(INDIRECT($AP$7),10,$AP$4+11)="","",INDEX(INDIRECT($AP$7),10,$AP$4+11)),"")</f>
        <v/>
      </c>
      <c r="P10" s="146">
        <f>IFERROR(IF(INDEX(INDIRECT($AP$7),10,$AP$4+12)="","",INDEX(INDIRECT($AP$7),10,$AP$4+12)),"")</f>
        <v/>
      </c>
      <c r="Q10" s="146">
        <f>IFERROR(IF(INDEX(INDIRECT($AP$7),10,$AP$4+13)="","",INDEX(INDIRECT($AP$7),10,$AP$4+13)),"")</f>
        <v/>
      </c>
      <c r="R10" s="146">
        <f>IFERROR(IF(INDEX(INDIRECT($AP$7),10,$AP$4+14)="","",INDEX(INDIRECT($AP$7),10,$AP$4+14)),"")</f>
        <v/>
      </c>
      <c r="S10" s="146">
        <f>IFERROR(IF(INDEX(INDIRECT($AP$7),10,$AP$4+15)="","",INDEX(INDIRECT($AP$7),10,$AP$4+15)),"")</f>
        <v/>
      </c>
      <c r="T10" s="146">
        <f>IFERROR(IF(INDEX(INDIRECT($AP$7),10,$AP$4+16)="","",INDEX(INDIRECT($AP$7),10,$AP$4+16)),"")</f>
        <v/>
      </c>
      <c r="U10" s="146">
        <f>IFERROR(IF(INDEX(INDIRECT($AP$7),10,$AP$4+17)="","",INDEX(INDIRECT($AP$7),10,$AP$4+17)),"")</f>
        <v/>
      </c>
      <c r="V10" s="146">
        <f>IFERROR(IF(INDEX(INDIRECT($AP$7),10,$AP$4+18)="","",INDEX(INDIRECT($AP$7),10,$AP$4+18)),"")</f>
        <v/>
      </c>
      <c r="W10" s="146">
        <f>IFERROR(IF(INDEX(INDIRECT($AP$7),10,$AP$4+19)="","",INDEX(INDIRECT($AP$7),10,$AP$4+19)),"")</f>
        <v/>
      </c>
      <c r="X10" s="146">
        <f>IFERROR(IF(INDEX(INDIRECT($AP$7),10,$AP$4+20)="","",INDEX(INDIRECT($AP$7),10,$AP$4+20)),"")</f>
        <v/>
      </c>
      <c r="Y10" s="146">
        <f>IFERROR(IF(INDEX(INDIRECT($AP$7),10,$AP$4+21)="","",INDEX(INDIRECT($AP$7),10,$AP$4+21)),"")</f>
        <v/>
      </c>
      <c r="Z10" s="146">
        <f>IFERROR(IF(INDEX(INDIRECT($AP$7),10,$AP$4+22)="","",INDEX(INDIRECT($AP$7),10,$AP$4+22)),"")</f>
        <v/>
      </c>
      <c r="AA10" s="146">
        <f>IFERROR(IF(INDEX(INDIRECT($AP$7),10,$AP$4+23)="","",INDEX(INDIRECT($AP$7),10,$AP$4+23)),"")</f>
        <v/>
      </c>
      <c r="AB10" s="146">
        <f>IFERROR(IF(INDEX(INDIRECT($AP$7),10,$AP$4+24)="","",INDEX(INDIRECT($AP$7),10,$AP$4+24)),"")</f>
        <v/>
      </c>
      <c r="AC10" s="146">
        <f>IFERROR(IF(INDEX(INDIRECT($AP$7),10,$AP$4+25)="","",INDEX(INDIRECT($AP$7),10,$AP$4+25)),"")</f>
        <v/>
      </c>
      <c r="AD10" s="146">
        <f>IFERROR(IF(INDEX(INDIRECT($AP$7),10,$AP$4+26)="","",INDEX(INDIRECT($AP$7),10,$AP$4+26)),"")</f>
        <v/>
      </c>
      <c r="AE10" s="146">
        <f>IFERROR(IF(INDEX(INDIRECT($AP$7),10,$AP$4+27)="","",INDEX(INDIRECT($AP$7),10,$AP$4+27)),"")</f>
        <v/>
      </c>
      <c r="AF10" s="146">
        <f>IFERROR(IF(INDEX(INDIRECT($AP$7),10,$AP$4+28)="","",INDEX(INDIRECT($AP$7),10,$AP$4+28)),"")</f>
        <v/>
      </c>
      <c r="AG10" s="146">
        <f>IFERROR(IF(INDEX(INDIRECT($AP$7),10,$AP$4+29)="","",INDEX(INDIRECT($AP$7),10,$AP$4+29)),"")</f>
        <v/>
      </c>
      <c r="AH10" s="146">
        <f>IFERROR(IF(INDEX(INDIRECT($AP$7),10,$AP$4+30)="","",INDEX(INDIRECT($AP$7),10,$AP$4+30)),"")</f>
        <v/>
      </c>
      <c r="AI10" s="836">
        <f>IFERROR(IF(INDEX(INDIRECT($AP$7),10,$AP$4+31)="","",INDEX(INDIRECT($AP$7),10,$AP$4+31)),"")</f>
        <v/>
      </c>
      <c r="AJ10" s="837">
        <f>IFERROR(IF(INDEX(INDIRECT($AP$7),10,$AP$4+32)="","",INDEX(INDIRECT($AP$7),10,$AP$4+32)),"")</f>
        <v/>
      </c>
      <c r="AK10" s="720">
        <f>IFERROR(IF(INDEX(INDIRECT($AP$7),10,$AP$4+33)="","",INDEX(INDIRECT($AP$7),10,$AP$4+33)),"")</f>
        <v/>
      </c>
      <c r="AM10" s="189" t="inlineStr"/>
      <c r="AQ10" t="inlineStr">
        <is>
          <t>การนอนพักผ่อนกลางวัน</t>
        </is>
      </c>
      <c r="AR10" t="inlineStr">
        <is>
          <t>นอนกลางวัน</t>
        </is>
      </c>
      <c r="AS10" t="inlineStr">
        <is>
          <t>หลับ</t>
        </is>
      </c>
      <c r="AT10" t="inlineStr">
        <is>
          <t>พัก</t>
        </is>
      </c>
      <c r="AU10" t="inlineStr">
        <is>
          <t>ไม่ นอน</t>
        </is>
      </c>
      <c r="AV10" t="inlineStr">
        <is>
          <t>😴</t>
        </is>
      </c>
    </row>
    <row r="11">
      <c r="A11" s="218" t="n">
        <v>3</v>
      </c>
      <c r="B11" s="219">
        <f>'ข้อมูลนักเรียน'!T11</f>
        <v/>
      </c>
      <c r="D11" s="146">
        <f>IFERROR(IF(INDEX(INDIRECT($AP$7),11,$AP$4+0)="","",INDEX(INDIRECT($AP$7),11,$AP$4+0)),"")</f>
        <v/>
      </c>
      <c r="E11" s="146">
        <f>IFERROR(IF(INDEX(INDIRECT($AP$7),11,$AP$4+1)="","",INDEX(INDIRECT($AP$7),11,$AP$4+1)),"")</f>
        <v/>
      </c>
      <c r="F11" s="146">
        <f>IFERROR(IF(INDEX(INDIRECT($AP$7),11,$AP$4+2)="","",INDEX(INDIRECT($AP$7),11,$AP$4+2)),"")</f>
        <v/>
      </c>
      <c r="G11" s="146">
        <f>IFERROR(IF(INDEX(INDIRECT($AP$7),11,$AP$4+3)="","",INDEX(INDIRECT($AP$7),11,$AP$4+3)),"")</f>
        <v/>
      </c>
      <c r="H11" s="146">
        <f>IFERROR(IF(INDEX(INDIRECT($AP$7),11,$AP$4+4)="","",INDEX(INDIRECT($AP$7),11,$AP$4+4)),"")</f>
        <v/>
      </c>
      <c r="I11" s="146">
        <f>IFERROR(IF(INDEX(INDIRECT($AP$7),11,$AP$4+5)="","",INDEX(INDIRECT($AP$7),11,$AP$4+5)),"")</f>
        <v/>
      </c>
      <c r="J11" s="146">
        <f>IFERROR(IF(INDEX(INDIRECT($AP$7),11,$AP$4+6)="","",INDEX(INDIRECT($AP$7),11,$AP$4+6)),"")</f>
        <v/>
      </c>
      <c r="K11" s="146">
        <f>IFERROR(IF(INDEX(INDIRECT($AP$7),11,$AP$4+7)="","",INDEX(INDIRECT($AP$7),11,$AP$4+7)),"")</f>
        <v/>
      </c>
      <c r="L11" s="146">
        <f>IFERROR(IF(INDEX(INDIRECT($AP$7),11,$AP$4+8)="","",INDEX(INDIRECT($AP$7),11,$AP$4+8)),"")</f>
        <v/>
      </c>
      <c r="M11" s="146">
        <f>IFERROR(IF(INDEX(INDIRECT($AP$7),11,$AP$4+9)="","",INDEX(INDIRECT($AP$7),11,$AP$4+9)),"")</f>
        <v/>
      </c>
      <c r="N11" s="146">
        <f>IFERROR(IF(INDEX(INDIRECT($AP$7),11,$AP$4+10)="","",INDEX(INDIRECT($AP$7),11,$AP$4+10)),"")</f>
        <v/>
      </c>
      <c r="O11" s="146">
        <f>IFERROR(IF(INDEX(INDIRECT($AP$7),11,$AP$4+11)="","",INDEX(INDIRECT($AP$7),11,$AP$4+11)),"")</f>
        <v/>
      </c>
      <c r="P11" s="146">
        <f>IFERROR(IF(INDEX(INDIRECT($AP$7),11,$AP$4+12)="","",INDEX(INDIRECT($AP$7),11,$AP$4+12)),"")</f>
        <v/>
      </c>
      <c r="Q11" s="146">
        <f>IFERROR(IF(INDEX(INDIRECT($AP$7),11,$AP$4+13)="","",INDEX(INDIRECT($AP$7),11,$AP$4+13)),"")</f>
        <v/>
      </c>
      <c r="R11" s="146">
        <f>IFERROR(IF(INDEX(INDIRECT($AP$7),11,$AP$4+14)="","",INDEX(INDIRECT($AP$7),11,$AP$4+14)),"")</f>
        <v/>
      </c>
      <c r="S11" s="146">
        <f>IFERROR(IF(INDEX(INDIRECT($AP$7),11,$AP$4+15)="","",INDEX(INDIRECT($AP$7),11,$AP$4+15)),"")</f>
        <v/>
      </c>
      <c r="T11" s="146">
        <f>IFERROR(IF(INDEX(INDIRECT($AP$7),11,$AP$4+16)="","",INDEX(INDIRECT($AP$7),11,$AP$4+16)),"")</f>
        <v/>
      </c>
      <c r="U11" s="146">
        <f>IFERROR(IF(INDEX(INDIRECT($AP$7),11,$AP$4+17)="","",INDEX(INDIRECT($AP$7),11,$AP$4+17)),"")</f>
        <v/>
      </c>
      <c r="V11" s="146">
        <f>IFERROR(IF(INDEX(INDIRECT($AP$7),11,$AP$4+18)="","",INDEX(INDIRECT($AP$7),11,$AP$4+18)),"")</f>
        <v/>
      </c>
      <c r="W11" s="146">
        <f>IFERROR(IF(INDEX(INDIRECT($AP$7),11,$AP$4+19)="","",INDEX(INDIRECT($AP$7),11,$AP$4+19)),"")</f>
        <v/>
      </c>
      <c r="X11" s="146">
        <f>IFERROR(IF(INDEX(INDIRECT($AP$7),11,$AP$4+20)="","",INDEX(INDIRECT($AP$7),11,$AP$4+20)),"")</f>
        <v/>
      </c>
      <c r="Y11" s="146">
        <f>IFERROR(IF(INDEX(INDIRECT($AP$7),11,$AP$4+21)="","",INDEX(INDIRECT($AP$7),11,$AP$4+21)),"")</f>
        <v/>
      </c>
      <c r="Z11" s="146">
        <f>IFERROR(IF(INDEX(INDIRECT($AP$7),11,$AP$4+22)="","",INDEX(INDIRECT($AP$7),11,$AP$4+22)),"")</f>
        <v/>
      </c>
      <c r="AA11" s="146">
        <f>IFERROR(IF(INDEX(INDIRECT($AP$7),11,$AP$4+23)="","",INDEX(INDIRECT($AP$7),11,$AP$4+23)),"")</f>
        <v/>
      </c>
      <c r="AB11" s="146">
        <f>IFERROR(IF(INDEX(INDIRECT($AP$7),11,$AP$4+24)="","",INDEX(INDIRECT($AP$7),11,$AP$4+24)),"")</f>
        <v/>
      </c>
      <c r="AC11" s="146">
        <f>IFERROR(IF(INDEX(INDIRECT($AP$7),11,$AP$4+25)="","",INDEX(INDIRECT($AP$7),11,$AP$4+25)),"")</f>
        <v/>
      </c>
      <c r="AD11" s="146">
        <f>IFERROR(IF(INDEX(INDIRECT($AP$7),11,$AP$4+26)="","",INDEX(INDIRECT($AP$7),11,$AP$4+26)),"")</f>
        <v/>
      </c>
      <c r="AE11" s="146">
        <f>IFERROR(IF(INDEX(INDIRECT($AP$7),11,$AP$4+27)="","",INDEX(INDIRECT($AP$7),11,$AP$4+27)),"")</f>
        <v/>
      </c>
      <c r="AF11" s="146">
        <f>IFERROR(IF(INDEX(INDIRECT($AP$7),11,$AP$4+28)="","",INDEX(INDIRECT($AP$7),11,$AP$4+28)),"")</f>
        <v/>
      </c>
      <c r="AG11" s="146">
        <f>IFERROR(IF(INDEX(INDIRECT($AP$7),11,$AP$4+29)="","",INDEX(INDIRECT($AP$7),11,$AP$4+29)),"")</f>
        <v/>
      </c>
      <c r="AH11" s="146">
        <f>IFERROR(IF(INDEX(INDIRECT($AP$7),11,$AP$4+30)="","",INDEX(INDIRECT($AP$7),11,$AP$4+30)),"")</f>
        <v/>
      </c>
      <c r="AI11" s="836">
        <f>IFERROR(IF(INDEX(INDIRECT($AP$7),11,$AP$4+31)="","",INDEX(INDIRECT($AP$7),11,$AP$4+31)),"")</f>
        <v/>
      </c>
      <c r="AJ11" s="837">
        <f>IFERROR(IF(INDEX(INDIRECT($AP$7),11,$AP$4+32)="","",INDEX(INDIRECT($AP$7),11,$AP$4+32)),"")</f>
        <v/>
      </c>
      <c r="AK11" s="720">
        <f>IFERROR(IF(INDEX(INDIRECT($AP$7),11,$AP$4+33)="","",INDEX(INDIRECT($AP$7),11,$AP$4+33)),"")</f>
        <v/>
      </c>
      <c r="AM11" s="189" t="inlineStr">
        <is>
          <t>การตรวจสุขภาพ / น้ำหนัก-ส่วนสูง</t>
        </is>
      </c>
      <c r="AQ11" t="inlineStr">
        <is>
          <t>การขับถ่าย</t>
        </is>
      </c>
      <c r="AR11" t="inlineStr">
        <is>
          <t>ขับถ่าย</t>
        </is>
      </c>
      <c r="AS11" t="inlineStr">
        <is>
          <t>ทำ เอง</t>
        </is>
      </c>
      <c r="AT11" t="inlineStr">
        <is>
          <t>ช่วย/ ผ้าอ้อม</t>
        </is>
      </c>
      <c r="AU11" t="inlineStr">
        <is>
          <t>ราด</t>
        </is>
      </c>
      <c r="AV11" t="inlineStr">
        <is>
          <t>🚽</t>
        </is>
      </c>
    </row>
    <row r="12">
      <c r="A12" s="226" t="n">
        <v>4</v>
      </c>
      <c r="B12" s="227">
        <f>'ข้อมูลนักเรียน'!T12</f>
        <v/>
      </c>
      <c r="D12" s="146">
        <f>IFERROR(IF(INDEX(INDIRECT($AP$7),12,$AP$4+0)="","",INDEX(INDIRECT($AP$7),12,$AP$4+0)),"")</f>
        <v/>
      </c>
      <c r="E12" s="146">
        <f>IFERROR(IF(INDEX(INDIRECT($AP$7),12,$AP$4+1)="","",INDEX(INDIRECT($AP$7),12,$AP$4+1)),"")</f>
        <v/>
      </c>
      <c r="F12" s="146">
        <f>IFERROR(IF(INDEX(INDIRECT($AP$7),12,$AP$4+2)="","",INDEX(INDIRECT($AP$7),12,$AP$4+2)),"")</f>
        <v/>
      </c>
      <c r="G12" s="146">
        <f>IFERROR(IF(INDEX(INDIRECT($AP$7),12,$AP$4+3)="","",INDEX(INDIRECT($AP$7),12,$AP$4+3)),"")</f>
        <v/>
      </c>
      <c r="H12" s="146">
        <f>IFERROR(IF(INDEX(INDIRECT($AP$7),12,$AP$4+4)="","",INDEX(INDIRECT($AP$7),12,$AP$4+4)),"")</f>
        <v/>
      </c>
      <c r="I12" s="146">
        <f>IFERROR(IF(INDEX(INDIRECT($AP$7),12,$AP$4+5)="","",INDEX(INDIRECT($AP$7),12,$AP$4+5)),"")</f>
        <v/>
      </c>
      <c r="J12" s="146">
        <f>IFERROR(IF(INDEX(INDIRECT($AP$7),12,$AP$4+6)="","",INDEX(INDIRECT($AP$7),12,$AP$4+6)),"")</f>
        <v/>
      </c>
      <c r="K12" s="146">
        <f>IFERROR(IF(INDEX(INDIRECT($AP$7),12,$AP$4+7)="","",INDEX(INDIRECT($AP$7),12,$AP$4+7)),"")</f>
        <v/>
      </c>
      <c r="L12" s="146">
        <f>IFERROR(IF(INDEX(INDIRECT($AP$7),12,$AP$4+8)="","",INDEX(INDIRECT($AP$7),12,$AP$4+8)),"")</f>
        <v/>
      </c>
      <c r="M12" s="146">
        <f>IFERROR(IF(INDEX(INDIRECT($AP$7),12,$AP$4+9)="","",INDEX(INDIRECT($AP$7),12,$AP$4+9)),"")</f>
        <v/>
      </c>
      <c r="N12" s="146">
        <f>IFERROR(IF(INDEX(INDIRECT($AP$7),12,$AP$4+10)="","",INDEX(INDIRECT($AP$7),12,$AP$4+10)),"")</f>
        <v/>
      </c>
      <c r="O12" s="146">
        <f>IFERROR(IF(INDEX(INDIRECT($AP$7),12,$AP$4+11)="","",INDEX(INDIRECT($AP$7),12,$AP$4+11)),"")</f>
        <v/>
      </c>
      <c r="P12" s="146">
        <f>IFERROR(IF(INDEX(INDIRECT($AP$7),12,$AP$4+12)="","",INDEX(INDIRECT($AP$7),12,$AP$4+12)),"")</f>
        <v/>
      </c>
      <c r="Q12" s="146">
        <f>IFERROR(IF(INDEX(INDIRECT($AP$7),12,$AP$4+13)="","",INDEX(INDIRECT($AP$7),12,$AP$4+13)),"")</f>
        <v/>
      </c>
      <c r="R12" s="146">
        <f>IFERROR(IF(INDEX(INDIRECT($AP$7),12,$AP$4+14)="","",INDEX(INDIRECT($AP$7),12,$AP$4+14)),"")</f>
        <v/>
      </c>
      <c r="S12" s="146">
        <f>IFERROR(IF(INDEX(INDIRECT($AP$7),12,$AP$4+15)="","",INDEX(INDIRECT($AP$7),12,$AP$4+15)),"")</f>
        <v/>
      </c>
      <c r="T12" s="146">
        <f>IFERROR(IF(INDEX(INDIRECT($AP$7),12,$AP$4+16)="","",INDEX(INDIRECT($AP$7),12,$AP$4+16)),"")</f>
        <v/>
      </c>
      <c r="U12" s="146">
        <f>IFERROR(IF(INDEX(INDIRECT($AP$7),12,$AP$4+17)="","",INDEX(INDIRECT($AP$7),12,$AP$4+17)),"")</f>
        <v/>
      </c>
      <c r="V12" s="146">
        <f>IFERROR(IF(INDEX(INDIRECT($AP$7),12,$AP$4+18)="","",INDEX(INDIRECT($AP$7),12,$AP$4+18)),"")</f>
        <v/>
      </c>
      <c r="W12" s="146">
        <f>IFERROR(IF(INDEX(INDIRECT($AP$7),12,$AP$4+19)="","",INDEX(INDIRECT($AP$7),12,$AP$4+19)),"")</f>
        <v/>
      </c>
      <c r="X12" s="146">
        <f>IFERROR(IF(INDEX(INDIRECT($AP$7),12,$AP$4+20)="","",INDEX(INDIRECT($AP$7),12,$AP$4+20)),"")</f>
        <v/>
      </c>
      <c r="Y12" s="146">
        <f>IFERROR(IF(INDEX(INDIRECT($AP$7),12,$AP$4+21)="","",INDEX(INDIRECT($AP$7),12,$AP$4+21)),"")</f>
        <v/>
      </c>
      <c r="Z12" s="146">
        <f>IFERROR(IF(INDEX(INDIRECT($AP$7),12,$AP$4+22)="","",INDEX(INDIRECT($AP$7),12,$AP$4+22)),"")</f>
        <v/>
      </c>
      <c r="AA12" s="146">
        <f>IFERROR(IF(INDEX(INDIRECT($AP$7),12,$AP$4+23)="","",INDEX(INDIRECT($AP$7),12,$AP$4+23)),"")</f>
        <v/>
      </c>
      <c r="AB12" s="146">
        <f>IFERROR(IF(INDEX(INDIRECT($AP$7),12,$AP$4+24)="","",INDEX(INDIRECT($AP$7),12,$AP$4+24)),"")</f>
        <v/>
      </c>
      <c r="AC12" s="146">
        <f>IFERROR(IF(INDEX(INDIRECT($AP$7),12,$AP$4+25)="","",INDEX(INDIRECT($AP$7),12,$AP$4+25)),"")</f>
        <v/>
      </c>
      <c r="AD12" s="146">
        <f>IFERROR(IF(INDEX(INDIRECT($AP$7),12,$AP$4+26)="","",INDEX(INDIRECT($AP$7),12,$AP$4+26)),"")</f>
        <v/>
      </c>
      <c r="AE12" s="146">
        <f>IFERROR(IF(INDEX(INDIRECT($AP$7),12,$AP$4+27)="","",INDEX(INDIRECT($AP$7),12,$AP$4+27)),"")</f>
        <v/>
      </c>
      <c r="AF12" s="146">
        <f>IFERROR(IF(INDEX(INDIRECT($AP$7),12,$AP$4+28)="","",INDEX(INDIRECT($AP$7),12,$AP$4+28)),"")</f>
        <v/>
      </c>
      <c r="AG12" s="146">
        <f>IFERROR(IF(INDEX(INDIRECT($AP$7),12,$AP$4+29)="","",INDEX(INDIRECT($AP$7),12,$AP$4+29)),"")</f>
        <v/>
      </c>
      <c r="AH12" s="146">
        <f>IFERROR(IF(INDEX(INDIRECT($AP$7),12,$AP$4+30)="","",INDEX(INDIRECT($AP$7),12,$AP$4+30)),"")</f>
        <v/>
      </c>
      <c r="AI12" s="836">
        <f>IFERROR(IF(INDEX(INDIRECT($AP$7),12,$AP$4+31)="","",INDEX(INDIRECT($AP$7),12,$AP$4+31)),"")</f>
        <v/>
      </c>
      <c r="AJ12" s="837">
        <f>IFERROR(IF(INDEX(INDIRECT($AP$7),12,$AP$4+32)="","",INDEX(INDIRECT($AP$7),12,$AP$4+32)),"")</f>
        <v/>
      </c>
      <c r="AK12" s="720">
        <f>IFERROR(IF(INDEX(INDIRECT($AP$7),12,$AP$4+33)="","",INDEX(INDIRECT($AP$7),12,$AP$4+33)),"")</f>
        <v/>
      </c>
      <c r="AM12" s="189" t="inlineStr">
        <is>
          <t xml:space="preserve">   ให้พิมพ์จากหน้าของบันทึกนั้นโดยตรง</t>
        </is>
      </c>
    </row>
    <row r="13">
      <c r="A13" s="218" t="n">
        <v>5</v>
      </c>
      <c r="B13" s="219">
        <f>'ข้อมูลนักเรียน'!T13</f>
        <v/>
      </c>
      <c r="D13" s="146">
        <f>IFERROR(IF(INDEX(INDIRECT($AP$7),13,$AP$4+0)="","",INDEX(INDIRECT($AP$7),13,$AP$4+0)),"")</f>
        <v/>
      </c>
      <c r="E13" s="146">
        <f>IFERROR(IF(INDEX(INDIRECT($AP$7),13,$AP$4+1)="","",INDEX(INDIRECT($AP$7),13,$AP$4+1)),"")</f>
        <v/>
      </c>
      <c r="F13" s="146">
        <f>IFERROR(IF(INDEX(INDIRECT($AP$7),13,$AP$4+2)="","",INDEX(INDIRECT($AP$7),13,$AP$4+2)),"")</f>
        <v/>
      </c>
      <c r="G13" s="146">
        <f>IFERROR(IF(INDEX(INDIRECT($AP$7),13,$AP$4+3)="","",INDEX(INDIRECT($AP$7),13,$AP$4+3)),"")</f>
        <v/>
      </c>
      <c r="H13" s="146">
        <f>IFERROR(IF(INDEX(INDIRECT($AP$7),13,$AP$4+4)="","",INDEX(INDIRECT($AP$7),13,$AP$4+4)),"")</f>
        <v/>
      </c>
      <c r="I13" s="146">
        <f>IFERROR(IF(INDEX(INDIRECT($AP$7),13,$AP$4+5)="","",INDEX(INDIRECT($AP$7),13,$AP$4+5)),"")</f>
        <v/>
      </c>
      <c r="J13" s="146">
        <f>IFERROR(IF(INDEX(INDIRECT($AP$7),13,$AP$4+6)="","",INDEX(INDIRECT($AP$7),13,$AP$4+6)),"")</f>
        <v/>
      </c>
      <c r="K13" s="146">
        <f>IFERROR(IF(INDEX(INDIRECT($AP$7),13,$AP$4+7)="","",INDEX(INDIRECT($AP$7),13,$AP$4+7)),"")</f>
        <v/>
      </c>
      <c r="L13" s="146">
        <f>IFERROR(IF(INDEX(INDIRECT($AP$7),13,$AP$4+8)="","",INDEX(INDIRECT($AP$7),13,$AP$4+8)),"")</f>
        <v/>
      </c>
      <c r="M13" s="146">
        <f>IFERROR(IF(INDEX(INDIRECT($AP$7),13,$AP$4+9)="","",INDEX(INDIRECT($AP$7),13,$AP$4+9)),"")</f>
        <v/>
      </c>
      <c r="N13" s="146">
        <f>IFERROR(IF(INDEX(INDIRECT($AP$7),13,$AP$4+10)="","",INDEX(INDIRECT($AP$7),13,$AP$4+10)),"")</f>
        <v/>
      </c>
      <c r="O13" s="146">
        <f>IFERROR(IF(INDEX(INDIRECT($AP$7),13,$AP$4+11)="","",INDEX(INDIRECT($AP$7),13,$AP$4+11)),"")</f>
        <v/>
      </c>
      <c r="P13" s="146">
        <f>IFERROR(IF(INDEX(INDIRECT($AP$7),13,$AP$4+12)="","",INDEX(INDIRECT($AP$7),13,$AP$4+12)),"")</f>
        <v/>
      </c>
      <c r="Q13" s="146">
        <f>IFERROR(IF(INDEX(INDIRECT($AP$7),13,$AP$4+13)="","",INDEX(INDIRECT($AP$7),13,$AP$4+13)),"")</f>
        <v/>
      </c>
      <c r="R13" s="146">
        <f>IFERROR(IF(INDEX(INDIRECT($AP$7),13,$AP$4+14)="","",INDEX(INDIRECT($AP$7),13,$AP$4+14)),"")</f>
        <v/>
      </c>
      <c r="S13" s="146">
        <f>IFERROR(IF(INDEX(INDIRECT($AP$7),13,$AP$4+15)="","",INDEX(INDIRECT($AP$7),13,$AP$4+15)),"")</f>
        <v/>
      </c>
      <c r="T13" s="146">
        <f>IFERROR(IF(INDEX(INDIRECT($AP$7),13,$AP$4+16)="","",INDEX(INDIRECT($AP$7),13,$AP$4+16)),"")</f>
        <v/>
      </c>
      <c r="U13" s="146">
        <f>IFERROR(IF(INDEX(INDIRECT($AP$7),13,$AP$4+17)="","",INDEX(INDIRECT($AP$7),13,$AP$4+17)),"")</f>
        <v/>
      </c>
      <c r="V13" s="146">
        <f>IFERROR(IF(INDEX(INDIRECT($AP$7),13,$AP$4+18)="","",INDEX(INDIRECT($AP$7),13,$AP$4+18)),"")</f>
        <v/>
      </c>
      <c r="W13" s="146">
        <f>IFERROR(IF(INDEX(INDIRECT($AP$7),13,$AP$4+19)="","",INDEX(INDIRECT($AP$7),13,$AP$4+19)),"")</f>
        <v/>
      </c>
      <c r="X13" s="146">
        <f>IFERROR(IF(INDEX(INDIRECT($AP$7),13,$AP$4+20)="","",INDEX(INDIRECT($AP$7),13,$AP$4+20)),"")</f>
        <v/>
      </c>
      <c r="Y13" s="146">
        <f>IFERROR(IF(INDEX(INDIRECT($AP$7),13,$AP$4+21)="","",INDEX(INDIRECT($AP$7),13,$AP$4+21)),"")</f>
        <v/>
      </c>
      <c r="Z13" s="146">
        <f>IFERROR(IF(INDEX(INDIRECT($AP$7),13,$AP$4+22)="","",INDEX(INDIRECT($AP$7),13,$AP$4+22)),"")</f>
        <v/>
      </c>
      <c r="AA13" s="146">
        <f>IFERROR(IF(INDEX(INDIRECT($AP$7),13,$AP$4+23)="","",INDEX(INDIRECT($AP$7),13,$AP$4+23)),"")</f>
        <v/>
      </c>
      <c r="AB13" s="146">
        <f>IFERROR(IF(INDEX(INDIRECT($AP$7),13,$AP$4+24)="","",INDEX(INDIRECT($AP$7),13,$AP$4+24)),"")</f>
        <v/>
      </c>
      <c r="AC13" s="146">
        <f>IFERROR(IF(INDEX(INDIRECT($AP$7),13,$AP$4+25)="","",INDEX(INDIRECT($AP$7),13,$AP$4+25)),"")</f>
        <v/>
      </c>
      <c r="AD13" s="146">
        <f>IFERROR(IF(INDEX(INDIRECT($AP$7),13,$AP$4+26)="","",INDEX(INDIRECT($AP$7),13,$AP$4+26)),"")</f>
        <v/>
      </c>
      <c r="AE13" s="146">
        <f>IFERROR(IF(INDEX(INDIRECT($AP$7),13,$AP$4+27)="","",INDEX(INDIRECT($AP$7),13,$AP$4+27)),"")</f>
        <v/>
      </c>
      <c r="AF13" s="146">
        <f>IFERROR(IF(INDEX(INDIRECT($AP$7),13,$AP$4+28)="","",INDEX(INDIRECT($AP$7),13,$AP$4+28)),"")</f>
        <v/>
      </c>
      <c r="AG13" s="146">
        <f>IFERROR(IF(INDEX(INDIRECT($AP$7),13,$AP$4+29)="","",INDEX(INDIRECT($AP$7),13,$AP$4+29)),"")</f>
        <v/>
      </c>
      <c r="AH13" s="146">
        <f>IFERROR(IF(INDEX(INDIRECT($AP$7),13,$AP$4+30)="","",INDEX(INDIRECT($AP$7),13,$AP$4+30)),"")</f>
        <v/>
      </c>
      <c r="AI13" s="836">
        <f>IFERROR(IF(INDEX(INDIRECT($AP$7),13,$AP$4+31)="","",INDEX(INDIRECT($AP$7),13,$AP$4+31)),"")</f>
        <v/>
      </c>
      <c r="AJ13" s="837">
        <f>IFERROR(IF(INDEX(INDIRECT($AP$7),13,$AP$4+32)="","",INDEX(INDIRECT($AP$7),13,$AP$4+32)),"")</f>
        <v/>
      </c>
      <c r="AK13" s="720">
        <f>IFERROR(IF(INDEX(INDIRECT($AP$7),13,$AP$4+33)="","",INDEX(INDIRECT($AP$7),13,$AP$4+33)),"")</f>
        <v/>
      </c>
    </row>
    <row r="14">
      <c r="A14" s="669">
        <f>IFERROR(INDEX(INDIRECT($AP$7),14,1)&amp;"","")</f>
        <v/>
      </c>
      <c r="D14" s="838">
        <f>IFERROR(IF(INDEX(INDIRECT($AP$7),14,$AP$4+0)="","",INDEX(INDIRECT($AP$7),14,$AP$4+0)),"")</f>
        <v/>
      </c>
      <c r="E14" s="838">
        <f>IFERROR(IF(INDEX(INDIRECT($AP$7),14,$AP$4+1)="","",INDEX(INDIRECT($AP$7),14,$AP$4+1)),"")</f>
        <v/>
      </c>
      <c r="F14" s="838">
        <f>IFERROR(IF(INDEX(INDIRECT($AP$7),14,$AP$4+2)="","",INDEX(INDIRECT($AP$7),14,$AP$4+2)),"")</f>
        <v/>
      </c>
      <c r="G14" s="838">
        <f>IFERROR(IF(INDEX(INDIRECT($AP$7),14,$AP$4+3)="","",INDEX(INDIRECT($AP$7),14,$AP$4+3)),"")</f>
        <v/>
      </c>
      <c r="H14" s="838">
        <f>IFERROR(IF(INDEX(INDIRECT($AP$7),14,$AP$4+4)="","",INDEX(INDIRECT($AP$7),14,$AP$4+4)),"")</f>
        <v/>
      </c>
      <c r="I14" s="838">
        <f>IFERROR(IF(INDEX(INDIRECT($AP$7),14,$AP$4+5)="","",INDEX(INDIRECT($AP$7),14,$AP$4+5)),"")</f>
        <v/>
      </c>
      <c r="J14" s="838">
        <f>IFERROR(IF(INDEX(INDIRECT($AP$7),14,$AP$4+6)="","",INDEX(INDIRECT($AP$7),14,$AP$4+6)),"")</f>
        <v/>
      </c>
      <c r="K14" s="838">
        <f>IFERROR(IF(INDEX(INDIRECT($AP$7),14,$AP$4+7)="","",INDEX(INDIRECT($AP$7),14,$AP$4+7)),"")</f>
        <v/>
      </c>
      <c r="L14" s="838">
        <f>IFERROR(IF(INDEX(INDIRECT($AP$7),14,$AP$4+8)="","",INDEX(INDIRECT($AP$7),14,$AP$4+8)),"")</f>
        <v/>
      </c>
      <c r="M14" s="838">
        <f>IFERROR(IF(INDEX(INDIRECT($AP$7),14,$AP$4+9)="","",INDEX(INDIRECT($AP$7),14,$AP$4+9)),"")</f>
        <v/>
      </c>
      <c r="N14" s="838">
        <f>IFERROR(IF(INDEX(INDIRECT($AP$7),14,$AP$4+10)="","",INDEX(INDIRECT($AP$7),14,$AP$4+10)),"")</f>
        <v/>
      </c>
      <c r="O14" s="838">
        <f>IFERROR(IF(INDEX(INDIRECT($AP$7),14,$AP$4+11)="","",INDEX(INDIRECT($AP$7),14,$AP$4+11)),"")</f>
        <v/>
      </c>
      <c r="P14" s="838">
        <f>IFERROR(IF(INDEX(INDIRECT($AP$7),14,$AP$4+12)="","",INDEX(INDIRECT($AP$7),14,$AP$4+12)),"")</f>
        <v/>
      </c>
      <c r="Q14" s="838">
        <f>IFERROR(IF(INDEX(INDIRECT($AP$7),14,$AP$4+13)="","",INDEX(INDIRECT($AP$7),14,$AP$4+13)),"")</f>
        <v/>
      </c>
      <c r="R14" s="838">
        <f>IFERROR(IF(INDEX(INDIRECT($AP$7),14,$AP$4+14)="","",INDEX(INDIRECT($AP$7),14,$AP$4+14)),"")</f>
        <v/>
      </c>
      <c r="S14" s="838">
        <f>IFERROR(IF(INDEX(INDIRECT($AP$7),14,$AP$4+15)="","",INDEX(INDIRECT($AP$7),14,$AP$4+15)),"")</f>
        <v/>
      </c>
      <c r="T14" s="838">
        <f>IFERROR(IF(INDEX(INDIRECT($AP$7),14,$AP$4+16)="","",INDEX(INDIRECT($AP$7),14,$AP$4+16)),"")</f>
        <v/>
      </c>
      <c r="U14" s="838">
        <f>IFERROR(IF(INDEX(INDIRECT($AP$7),14,$AP$4+17)="","",INDEX(INDIRECT($AP$7),14,$AP$4+17)),"")</f>
        <v/>
      </c>
      <c r="V14" s="838">
        <f>IFERROR(IF(INDEX(INDIRECT($AP$7),14,$AP$4+18)="","",INDEX(INDIRECT($AP$7),14,$AP$4+18)),"")</f>
        <v/>
      </c>
      <c r="W14" s="838">
        <f>IFERROR(IF(INDEX(INDIRECT($AP$7),14,$AP$4+19)="","",INDEX(INDIRECT($AP$7),14,$AP$4+19)),"")</f>
        <v/>
      </c>
      <c r="X14" s="838">
        <f>IFERROR(IF(INDEX(INDIRECT($AP$7),14,$AP$4+20)="","",INDEX(INDIRECT($AP$7),14,$AP$4+20)),"")</f>
        <v/>
      </c>
      <c r="Y14" s="838">
        <f>IFERROR(IF(INDEX(INDIRECT($AP$7),14,$AP$4+21)="","",INDEX(INDIRECT($AP$7),14,$AP$4+21)),"")</f>
        <v/>
      </c>
      <c r="Z14" s="838">
        <f>IFERROR(IF(INDEX(INDIRECT($AP$7),14,$AP$4+22)="","",INDEX(INDIRECT($AP$7),14,$AP$4+22)),"")</f>
        <v/>
      </c>
      <c r="AA14" s="838">
        <f>IFERROR(IF(INDEX(INDIRECT($AP$7),14,$AP$4+23)="","",INDEX(INDIRECT($AP$7),14,$AP$4+23)),"")</f>
        <v/>
      </c>
      <c r="AB14" s="838">
        <f>IFERROR(IF(INDEX(INDIRECT($AP$7),14,$AP$4+24)="","",INDEX(INDIRECT($AP$7),14,$AP$4+24)),"")</f>
        <v/>
      </c>
      <c r="AC14" s="838">
        <f>IFERROR(IF(INDEX(INDIRECT($AP$7),14,$AP$4+25)="","",INDEX(INDIRECT($AP$7),14,$AP$4+25)),"")</f>
        <v/>
      </c>
      <c r="AD14" s="838">
        <f>IFERROR(IF(INDEX(INDIRECT($AP$7),14,$AP$4+26)="","",INDEX(INDIRECT($AP$7),14,$AP$4+26)),"")</f>
        <v/>
      </c>
      <c r="AE14" s="838">
        <f>IFERROR(IF(INDEX(INDIRECT($AP$7),14,$AP$4+27)="","",INDEX(INDIRECT($AP$7),14,$AP$4+27)),"")</f>
        <v/>
      </c>
      <c r="AF14" s="838">
        <f>IFERROR(IF(INDEX(INDIRECT($AP$7),14,$AP$4+28)="","",INDEX(INDIRECT($AP$7),14,$AP$4+28)),"")</f>
        <v/>
      </c>
      <c r="AG14" s="838">
        <f>IFERROR(IF(INDEX(INDIRECT($AP$7),14,$AP$4+29)="","",INDEX(INDIRECT($AP$7),14,$AP$4+29)),"")</f>
        <v/>
      </c>
      <c r="AH14" s="838">
        <f>IFERROR(IF(INDEX(INDIRECT($AP$7),14,$AP$4+30)="","",INDEX(INDIRECT($AP$7),14,$AP$4+30)),"")</f>
        <v/>
      </c>
      <c r="AI14" s="839">
        <f>IFERROR(IF(INDEX(INDIRECT($AP$7),14,$AP$4+31)="","",INDEX(INDIRECT($AP$7),14,$AP$4+31)),"")</f>
        <v/>
      </c>
      <c r="AJ14" s="840">
        <f>IFERROR(IF(INDEX(INDIRECT($AP$7),14,$AP$4+32)="","",INDEX(INDIRECT($AP$7),14,$AP$4+32)),"")</f>
        <v/>
      </c>
      <c r="AK14" s="841">
        <f>IFERROR(IF(INDEX(INDIRECT($AP$7),14,$AP$4+33)="","",INDEX(INDIRECT($AP$7),14,$AP$4+33)),"")</f>
        <v/>
      </c>
    </row>
    <row r="15">
      <c r="A15" s="669">
        <f>IFERROR(INDEX(INDIRECT($AP$7),15,1)&amp;"","")</f>
        <v/>
      </c>
      <c r="D15" s="842">
        <f>IFERROR(IF(INDEX(INDIRECT($AP$7),15,$AP$4+0)="","",INDEX(INDIRECT($AP$7),15,$AP$4+0)),"")</f>
        <v/>
      </c>
      <c r="E15" s="842">
        <f>IFERROR(IF(INDEX(INDIRECT($AP$7),15,$AP$4+1)="","",INDEX(INDIRECT($AP$7),15,$AP$4+1)),"")</f>
        <v/>
      </c>
      <c r="F15" s="842">
        <f>IFERROR(IF(INDEX(INDIRECT($AP$7),15,$AP$4+2)="","",INDEX(INDIRECT($AP$7),15,$AP$4+2)),"")</f>
        <v/>
      </c>
      <c r="G15" s="842">
        <f>IFERROR(IF(INDEX(INDIRECT($AP$7),15,$AP$4+3)="","",INDEX(INDIRECT($AP$7),15,$AP$4+3)),"")</f>
        <v/>
      </c>
      <c r="H15" s="842">
        <f>IFERROR(IF(INDEX(INDIRECT($AP$7),15,$AP$4+4)="","",INDEX(INDIRECT($AP$7),15,$AP$4+4)),"")</f>
        <v/>
      </c>
      <c r="I15" s="842">
        <f>IFERROR(IF(INDEX(INDIRECT($AP$7),15,$AP$4+5)="","",INDEX(INDIRECT($AP$7),15,$AP$4+5)),"")</f>
        <v/>
      </c>
      <c r="J15" s="842">
        <f>IFERROR(IF(INDEX(INDIRECT($AP$7),15,$AP$4+6)="","",INDEX(INDIRECT($AP$7),15,$AP$4+6)),"")</f>
        <v/>
      </c>
      <c r="K15" s="842">
        <f>IFERROR(IF(INDEX(INDIRECT($AP$7),15,$AP$4+7)="","",INDEX(INDIRECT($AP$7),15,$AP$4+7)),"")</f>
        <v/>
      </c>
      <c r="L15" s="842">
        <f>IFERROR(IF(INDEX(INDIRECT($AP$7),15,$AP$4+8)="","",INDEX(INDIRECT($AP$7),15,$AP$4+8)),"")</f>
        <v/>
      </c>
      <c r="M15" s="842">
        <f>IFERROR(IF(INDEX(INDIRECT($AP$7),15,$AP$4+9)="","",INDEX(INDIRECT($AP$7),15,$AP$4+9)),"")</f>
        <v/>
      </c>
      <c r="N15" s="842">
        <f>IFERROR(IF(INDEX(INDIRECT($AP$7),15,$AP$4+10)="","",INDEX(INDIRECT($AP$7),15,$AP$4+10)),"")</f>
        <v/>
      </c>
      <c r="O15" s="842">
        <f>IFERROR(IF(INDEX(INDIRECT($AP$7),15,$AP$4+11)="","",INDEX(INDIRECT($AP$7),15,$AP$4+11)),"")</f>
        <v/>
      </c>
      <c r="P15" s="842">
        <f>IFERROR(IF(INDEX(INDIRECT($AP$7),15,$AP$4+12)="","",INDEX(INDIRECT($AP$7),15,$AP$4+12)),"")</f>
        <v/>
      </c>
      <c r="Q15" s="842">
        <f>IFERROR(IF(INDEX(INDIRECT($AP$7),15,$AP$4+13)="","",INDEX(INDIRECT($AP$7),15,$AP$4+13)),"")</f>
        <v/>
      </c>
      <c r="R15" s="842">
        <f>IFERROR(IF(INDEX(INDIRECT($AP$7),15,$AP$4+14)="","",INDEX(INDIRECT($AP$7),15,$AP$4+14)),"")</f>
        <v/>
      </c>
      <c r="S15" s="842">
        <f>IFERROR(IF(INDEX(INDIRECT($AP$7),15,$AP$4+15)="","",INDEX(INDIRECT($AP$7),15,$AP$4+15)),"")</f>
        <v/>
      </c>
      <c r="T15" s="842">
        <f>IFERROR(IF(INDEX(INDIRECT($AP$7),15,$AP$4+16)="","",INDEX(INDIRECT($AP$7),15,$AP$4+16)),"")</f>
        <v/>
      </c>
      <c r="U15" s="842">
        <f>IFERROR(IF(INDEX(INDIRECT($AP$7),15,$AP$4+17)="","",INDEX(INDIRECT($AP$7),15,$AP$4+17)),"")</f>
        <v/>
      </c>
      <c r="V15" s="842">
        <f>IFERROR(IF(INDEX(INDIRECT($AP$7),15,$AP$4+18)="","",INDEX(INDIRECT($AP$7),15,$AP$4+18)),"")</f>
        <v/>
      </c>
      <c r="W15" s="842">
        <f>IFERROR(IF(INDEX(INDIRECT($AP$7),15,$AP$4+19)="","",INDEX(INDIRECT($AP$7),15,$AP$4+19)),"")</f>
        <v/>
      </c>
      <c r="X15" s="842">
        <f>IFERROR(IF(INDEX(INDIRECT($AP$7),15,$AP$4+20)="","",INDEX(INDIRECT($AP$7),15,$AP$4+20)),"")</f>
        <v/>
      </c>
      <c r="Y15" s="842">
        <f>IFERROR(IF(INDEX(INDIRECT($AP$7),15,$AP$4+21)="","",INDEX(INDIRECT($AP$7),15,$AP$4+21)),"")</f>
        <v/>
      </c>
      <c r="Z15" s="842">
        <f>IFERROR(IF(INDEX(INDIRECT($AP$7),15,$AP$4+22)="","",INDEX(INDIRECT($AP$7),15,$AP$4+22)),"")</f>
        <v/>
      </c>
      <c r="AA15" s="842">
        <f>IFERROR(IF(INDEX(INDIRECT($AP$7),15,$AP$4+23)="","",INDEX(INDIRECT($AP$7),15,$AP$4+23)),"")</f>
        <v/>
      </c>
      <c r="AB15" s="842">
        <f>IFERROR(IF(INDEX(INDIRECT($AP$7),15,$AP$4+24)="","",INDEX(INDIRECT($AP$7),15,$AP$4+24)),"")</f>
        <v/>
      </c>
      <c r="AC15" s="842">
        <f>IFERROR(IF(INDEX(INDIRECT($AP$7),15,$AP$4+25)="","",INDEX(INDIRECT($AP$7),15,$AP$4+25)),"")</f>
        <v/>
      </c>
      <c r="AD15" s="842">
        <f>IFERROR(IF(INDEX(INDIRECT($AP$7),15,$AP$4+26)="","",INDEX(INDIRECT($AP$7),15,$AP$4+26)),"")</f>
        <v/>
      </c>
      <c r="AE15" s="842">
        <f>IFERROR(IF(INDEX(INDIRECT($AP$7),15,$AP$4+27)="","",INDEX(INDIRECT($AP$7),15,$AP$4+27)),"")</f>
        <v/>
      </c>
      <c r="AF15" s="842">
        <f>IFERROR(IF(INDEX(INDIRECT($AP$7),15,$AP$4+28)="","",INDEX(INDIRECT($AP$7),15,$AP$4+28)),"")</f>
        <v/>
      </c>
      <c r="AG15" s="842">
        <f>IFERROR(IF(INDEX(INDIRECT($AP$7),15,$AP$4+29)="","",INDEX(INDIRECT($AP$7),15,$AP$4+29)),"")</f>
        <v/>
      </c>
      <c r="AH15" s="842">
        <f>IFERROR(IF(INDEX(INDIRECT($AP$7),15,$AP$4+30)="","",INDEX(INDIRECT($AP$7),15,$AP$4+30)),"")</f>
        <v/>
      </c>
      <c r="AI15" s="839">
        <f>IFERROR(IF(INDEX(INDIRECT($AP$7),15,$AP$4+31)="","",INDEX(INDIRECT($AP$7),15,$AP$4+31)),"")</f>
        <v/>
      </c>
      <c r="AJ15" s="840">
        <f>IFERROR(IF(INDEX(INDIRECT($AP$7),15,$AP$4+32)="","",INDEX(INDIRECT($AP$7),15,$AP$4+32)),"")</f>
        <v/>
      </c>
      <c r="AK15" s="841">
        <f>IFERROR(IF(INDEX(INDIRECT($AP$7),15,$AP$4+33)="","",INDEX(INDIRECT($AP$7),15,$AP$4+33)),"")</f>
        <v/>
      </c>
    </row>
    <row r="16">
      <c r="A16" s="669">
        <f>IFERROR(INDEX(INDIRECT($AP$7),16,1)&amp;"","")</f>
        <v/>
      </c>
      <c r="D16" s="842">
        <f>IFERROR(IF(INDEX(INDIRECT($AP$7),16,$AP$4+0)="","",INDEX(INDIRECT($AP$7),16,$AP$4+0)),"")</f>
        <v/>
      </c>
      <c r="E16" s="842">
        <f>IFERROR(IF(INDEX(INDIRECT($AP$7),16,$AP$4+1)="","",INDEX(INDIRECT($AP$7),16,$AP$4+1)),"")</f>
        <v/>
      </c>
      <c r="F16" s="842">
        <f>IFERROR(IF(INDEX(INDIRECT($AP$7),16,$AP$4+2)="","",INDEX(INDIRECT($AP$7),16,$AP$4+2)),"")</f>
        <v/>
      </c>
      <c r="G16" s="842">
        <f>IFERROR(IF(INDEX(INDIRECT($AP$7),16,$AP$4+3)="","",INDEX(INDIRECT($AP$7),16,$AP$4+3)),"")</f>
        <v/>
      </c>
      <c r="H16" s="842">
        <f>IFERROR(IF(INDEX(INDIRECT($AP$7),16,$AP$4+4)="","",INDEX(INDIRECT($AP$7),16,$AP$4+4)),"")</f>
        <v/>
      </c>
      <c r="I16" s="842">
        <f>IFERROR(IF(INDEX(INDIRECT($AP$7),16,$AP$4+5)="","",INDEX(INDIRECT($AP$7),16,$AP$4+5)),"")</f>
        <v/>
      </c>
      <c r="J16" s="842">
        <f>IFERROR(IF(INDEX(INDIRECT($AP$7),16,$AP$4+6)="","",INDEX(INDIRECT($AP$7),16,$AP$4+6)),"")</f>
        <v/>
      </c>
      <c r="K16" s="842">
        <f>IFERROR(IF(INDEX(INDIRECT($AP$7),16,$AP$4+7)="","",INDEX(INDIRECT($AP$7),16,$AP$4+7)),"")</f>
        <v/>
      </c>
      <c r="L16" s="842">
        <f>IFERROR(IF(INDEX(INDIRECT($AP$7),16,$AP$4+8)="","",INDEX(INDIRECT($AP$7),16,$AP$4+8)),"")</f>
        <v/>
      </c>
      <c r="M16" s="842">
        <f>IFERROR(IF(INDEX(INDIRECT($AP$7),16,$AP$4+9)="","",INDEX(INDIRECT($AP$7),16,$AP$4+9)),"")</f>
        <v/>
      </c>
      <c r="N16" s="842">
        <f>IFERROR(IF(INDEX(INDIRECT($AP$7),16,$AP$4+10)="","",INDEX(INDIRECT($AP$7),16,$AP$4+10)),"")</f>
        <v/>
      </c>
      <c r="O16" s="842">
        <f>IFERROR(IF(INDEX(INDIRECT($AP$7),16,$AP$4+11)="","",INDEX(INDIRECT($AP$7),16,$AP$4+11)),"")</f>
        <v/>
      </c>
      <c r="P16" s="842">
        <f>IFERROR(IF(INDEX(INDIRECT($AP$7),16,$AP$4+12)="","",INDEX(INDIRECT($AP$7),16,$AP$4+12)),"")</f>
        <v/>
      </c>
      <c r="Q16" s="842">
        <f>IFERROR(IF(INDEX(INDIRECT($AP$7),16,$AP$4+13)="","",INDEX(INDIRECT($AP$7),16,$AP$4+13)),"")</f>
        <v/>
      </c>
      <c r="R16" s="842">
        <f>IFERROR(IF(INDEX(INDIRECT($AP$7),16,$AP$4+14)="","",INDEX(INDIRECT($AP$7),16,$AP$4+14)),"")</f>
        <v/>
      </c>
      <c r="S16" s="842">
        <f>IFERROR(IF(INDEX(INDIRECT($AP$7),16,$AP$4+15)="","",INDEX(INDIRECT($AP$7),16,$AP$4+15)),"")</f>
        <v/>
      </c>
      <c r="T16" s="842">
        <f>IFERROR(IF(INDEX(INDIRECT($AP$7),16,$AP$4+16)="","",INDEX(INDIRECT($AP$7),16,$AP$4+16)),"")</f>
        <v/>
      </c>
      <c r="U16" s="842">
        <f>IFERROR(IF(INDEX(INDIRECT($AP$7),16,$AP$4+17)="","",INDEX(INDIRECT($AP$7),16,$AP$4+17)),"")</f>
        <v/>
      </c>
      <c r="V16" s="842">
        <f>IFERROR(IF(INDEX(INDIRECT($AP$7),16,$AP$4+18)="","",INDEX(INDIRECT($AP$7),16,$AP$4+18)),"")</f>
        <v/>
      </c>
      <c r="W16" s="842">
        <f>IFERROR(IF(INDEX(INDIRECT($AP$7),16,$AP$4+19)="","",INDEX(INDIRECT($AP$7),16,$AP$4+19)),"")</f>
        <v/>
      </c>
      <c r="X16" s="842">
        <f>IFERROR(IF(INDEX(INDIRECT($AP$7),16,$AP$4+20)="","",INDEX(INDIRECT($AP$7),16,$AP$4+20)),"")</f>
        <v/>
      </c>
      <c r="Y16" s="842">
        <f>IFERROR(IF(INDEX(INDIRECT($AP$7),16,$AP$4+21)="","",INDEX(INDIRECT($AP$7),16,$AP$4+21)),"")</f>
        <v/>
      </c>
      <c r="Z16" s="842">
        <f>IFERROR(IF(INDEX(INDIRECT($AP$7),16,$AP$4+22)="","",INDEX(INDIRECT($AP$7),16,$AP$4+22)),"")</f>
        <v/>
      </c>
      <c r="AA16" s="842">
        <f>IFERROR(IF(INDEX(INDIRECT($AP$7),16,$AP$4+23)="","",INDEX(INDIRECT($AP$7),16,$AP$4+23)),"")</f>
        <v/>
      </c>
      <c r="AB16" s="842">
        <f>IFERROR(IF(INDEX(INDIRECT($AP$7),16,$AP$4+24)="","",INDEX(INDIRECT($AP$7),16,$AP$4+24)),"")</f>
        <v/>
      </c>
      <c r="AC16" s="842">
        <f>IFERROR(IF(INDEX(INDIRECT($AP$7),16,$AP$4+25)="","",INDEX(INDIRECT($AP$7),16,$AP$4+25)),"")</f>
        <v/>
      </c>
      <c r="AD16" s="842">
        <f>IFERROR(IF(INDEX(INDIRECT($AP$7),16,$AP$4+26)="","",INDEX(INDIRECT($AP$7),16,$AP$4+26)),"")</f>
        <v/>
      </c>
      <c r="AE16" s="842">
        <f>IFERROR(IF(INDEX(INDIRECT($AP$7),16,$AP$4+27)="","",INDEX(INDIRECT($AP$7),16,$AP$4+27)),"")</f>
        <v/>
      </c>
      <c r="AF16" s="842">
        <f>IFERROR(IF(INDEX(INDIRECT($AP$7),16,$AP$4+28)="","",INDEX(INDIRECT($AP$7),16,$AP$4+28)),"")</f>
        <v/>
      </c>
      <c r="AG16" s="842">
        <f>IFERROR(IF(INDEX(INDIRECT($AP$7),16,$AP$4+29)="","",INDEX(INDIRECT($AP$7),16,$AP$4+29)),"")</f>
        <v/>
      </c>
      <c r="AH16" s="842">
        <f>IFERROR(IF(INDEX(INDIRECT($AP$7),16,$AP$4+30)="","",INDEX(INDIRECT($AP$7),16,$AP$4+30)),"")</f>
        <v/>
      </c>
      <c r="AI16" s="839">
        <f>IFERROR(IF(INDEX(INDIRECT($AP$7),16,$AP$4+31)="","",INDEX(INDIRECT($AP$7),16,$AP$4+31)),"")</f>
        <v/>
      </c>
      <c r="AJ16" s="840">
        <f>IFERROR(IF(INDEX(INDIRECT($AP$7),16,$AP$4+32)="","",INDEX(INDIRECT($AP$7),16,$AP$4+32)),"")</f>
        <v/>
      </c>
      <c r="AK16" s="841">
        <f>IFERROR(IF(INDEX(INDIRECT($AP$7),16,$AP$4+33)="","",INDEX(INDIRECT($AP$7),16,$AP$4+33)),"")</f>
        <v/>
      </c>
    </row>
    <row r="17" ht="80" customHeight="1">
      <c r="A17" s="669">
        <f>IFERROR(INDEX(INDIRECT($AP$7),17,1)&amp;"","")</f>
        <v/>
      </c>
      <c r="D17" s="843">
        <f>IFERROR(IF(INDEX(INDIRECT($AP$7),17,$AP$4+0)="","",INDEX(INDIRECT($AP$7),17,$AP$4+0)),"")</f>
        <v/>
      </c>
      <c r="E17" s="843">
        <f>IFERROR(IF(INDEX(INDIRECT($AP$7),17,$AP$4+1)="","",INDEX(INDIRECT($AP$7),17,$AP$4+1)),"")</f>
        <v/>
      </c>
      <c r="F17" s="843">
        <f>IFERROR(IF(INDEX(INDIRECT($AP$7),17,$AP$4+2)="","",INDEX(INDIRECT($AP$7),17,$AP$4+2)),"")</f>
        <v/>
      </c>
      <c r="G17" s="843">
        <f>IFERROR(IF(INDEX(INDIRECT($AP$7),17,$AP$4+3)="","",INDEX(INDIRECT($AP$7),17,$AP$4+3)),"")</f>
        <v/>
      </c>
      <c r="H17" s="843">
        <f>IFERROR(IF(INDEX(INDIRECT($AP$7),17,$AP$4+4)="","",INDEX(INDIRECT($AP$7),17,$AP$4+4)),"")</f>
        <v/>
      </c>
      <c r="I17" s="843">
        <f>IFERROR(IF(INDEX(INDIRECT($AP$7),17,$AP$4+5)="","",INDEX(INDIRECT($AP$7),17,$AP$4+5)),"")</f>
        <v/>
      </c>
      <c r="J17" s="843">
        <f>IFERROR(IF(INDEX(INDIRECT($AP$7),17,$AP$4+6)="","",INDEX(INDIRECT($AP$7),17,$AP$4+6)),"")</f>
        <v/>
      </c>
      <c r="K17" s="843">
        <f>IFERROR(IF(INDEX(INDIRECT($AP$7),17,$AP$4+7)="","",INDEX(INDIRECT($AP$7),17,$AP$4+7)),"")</f>
        <v/>
      </c>
      <c r="L17" s="843">
        <f>IFERROR(IF(INDEX(INDIRECT($AP$7),17,$AP$4+8)="","",INDEX(INDIRECT($AP$7),17,$AP$4+8)),"")</f>
        <v/>
      </c>
      <c r="M17" s="843">
        <f>IFERROR(IF(INDEX(INDIRECT($AP$7),17,$AP$4+9)="","",INDEX(INDIRECT($AP$7),17,$AP$4+9)),"")</f>
        <v/>
      </c>
      <c r="N17" s="843">
        <f>IFERROR(IF(INDEX(INDIRECT($AP$7),17,$AP$4+10)="","",INDEX(INDIRECT($AP$7),17,$AP$4+10)),"")</f>
        <v/>
      </c>
      <c r="O17" s="843">
        <f>IFERROR(IF(INDEX(INDIRECT($AP$7),17,$AP$4+11)="","",INDEX(INDIRECT($AP$7),17,$AP$4+11)),"")</f>
        <v/>
      </c>
      <c r="P17" s="843">
        <f>IFERROR(IF(INDEX(INDIRECT($AP$7),17,$AP$4+12)="","",INDEX(INDIRECT($AP$7),17,$AP$4+12)),"")</f>
        <v/>
      </c>
      <c r="Q17" s="843">
        <f>IFERROR(IF(INDEX(INDIRECT($AP$7),17,$AP$4+13)="","",INDEX(INDIRECT($AP$7),17,$AP$4+13)),"")</f>
        <v/>
      </c>
      <c r="R17" s="843">
        <f>IFERROR(IF(INDEX(INDIRECT($AP$7),17,$AP$4+14)="","",INDEX(INDIRECT($AP$7),17,$AP$4+14)),"")</f>
        <v/>
      </c>
      <c r="S17" s="843">
        <f>IFERROR(IF(INDEX(INDIRECT($AP$7),17,$AP$4+15)="","",INDEX(INDIRECT($AP$7),17,$AP$4+15)),"")</f>
        <v/>
      </c>
      <c r="T17" s="843">
        <f>IFERROR(IF(INDEX(INDIRECT($AP$7),17,$AP$4+16)="","",INDEX(INDIRECT($AP$7),17,$AP$4+16)),"")</f>
        <v/>
      </c>
      <c r="U17" s="843">
        <f>IFERROR(IF(INDEX(INDIRECT($AP$7),17,$AP$4+17)="","",INDEX(INDIRECT($AP$7),17,$AP$4+17)),"")</f>
        <v/>
      </c>
      <c r="V17" s="843">
        <f>IFERROR(IF(INDEX(INDIRECT($AP$7),17,$AP$4+18)="","",INDEX(INDIRECT($AP$7),17,$AP$4+18)),"")</f>
        <v/>
      </c>
      <c r="W17" s="843">
        <f>IFERROR(IF(INDEX(INDIRECT($AP$7),17,$AP$4+19)="","",INDEX(INDIRECT($AP$7),17,$AP$4+19)),"")</f>
        <v/>
      </c>
      <c r="X17" s="843">
        <f>IFERROR(IF(INDEX(INDIRECT($AP$7),17,$AP$4+20)="","",INDEX(INDIRECT($AP$7),17,$AP$4+20)),"")</f>
        <v/>
      </c>
      <c r="Y17" s="843">
        <f>IFERROR(IF(INDEX(INDIRECT($AP$7),17,$AP$4+21)="","",INDEX(INDIRECT($AP$7),17,$AP$4+21)),"")</f>
        <v/>
      </c>
      <c r="Z17" s="843">
        <f>IFERROR(IF(INDEX(INDIRECT($AP$7),17,$AP$4+22)="","",INDEX(INDIRECT($AP$7),17,$AP$4+22)),"")</f>
        <v/>
      </c>
      <c r="AA17" s="843">
        <f>IFERROR(IF(INDEX(INDIRECT($AP$7),17,$AP$4+23)="","",INDEX(INDIRECT($AP$7),17,$AP$4+23)),"")</f>
        <v/>
      </c>
      <c r="AB17" s="843">
        <f>IFERROR(IF(INDEX(INDIRECT($AP$7),17,$AP$4+24)="","",INDEX(INDIRECT($AP$7),17,$AP$4+24)),"")</f>
        <v/>
      </c>
      <c r="AC17" s="843">
        <f>IFERROR(IF(INDEX(INDIRECT($AP$7),17,$AP$4+25)="","",INDEX(INDIRECT($AP$7),17,$AP$4+25)),"")</f>
        <v/>
      </c>
      <c r="AD17" s="843">
        <f>IFERROR(IF(INDEX(INDIRECT($AP$7),17,$AP$4+26)="","",INDEX(INDIRECT($AP$7),17,$AP$4+26)),"")</f>
        <v/>
      </c>
      <c r="AE17" s="843">
        <f>IFERROR(IF(INDEX(INDIRECT($AP$7),17,$AP$4+27)="","",INDEX(INDIRECT($AP$7),17,$AP$4+27)),"")</f>
        <v/>
      </c>
      <c r="AF17" s="843">
        <f>IFERROR(IF(INDEX(INDIRECT($AP$7),17,$AP$4+28)="","",INDEX(INDIRECT($AP$7),17,$AP$4+28)),"")</f>
        <v/>
      </c>
      <c r="AG17" s="843">
        <f>IFERROR(IF(INDEX(INDIRECT($AP$7),17,$AP$4+29)="","",INDEX(INDIRECT($AP$7),17,$AP$4+29)),"")</f>
        <v/>
      </c>
      <c r="AH17" s="843">
        <f>IFERROR(IF(INDEX(INDIRECT($AP$7),17,$AP$4+30)="","",INDEX(INDIRECT($AP$7),17,$AP$4+30)),"")</f>
        <v/>
      </c>
      <c r="AI17" s="839">
        <f>IFERROR(IF(INDEX(INDIRECT($AP$7),17,$AP$4+31)="","",INDEX(INDIRECT($AP$7),17,$AP$4+31)),"")</f>
        <v/>
      </c>
      <c r="AJ17" s="840">
        <f>IFERROR(IF(INDEX(INDIRECT($AP$7),17,$AP$4+32)="","",INDEX(INDIRECT($AP$7),17,$AP$4+32)),"")</f>
        <v/>
      </c>
      <c r="AK17" s="841">
        <f>IFERROR(IF(INDEX(INDIRECT($AP$7),17,$AP$4+33)="","",INDEX(INDIRECT($AP$7),17,$AP$4+33)),"")</f>
        <v/>
      </c>
    </row>
    <row r="18"/>
    <row r="19">
      <c r="B19" s="246" t="inlineStr">
        <is>
          <t>ลงชื่อ ........................................................</t>
        </is>
      </c>
      <c r="X19" s="246" t="inlineStr">
        <is>
          <t>ลงชื่อ ........................................................</t>
        </is>
      </c>
    </row>
    <row r="20">
      <c r="B20" s="246">
        <f>"( "&amp;IF('ข้อมูลโรงเรียน'!$C$9="","..................................................",'ข้อมูลโรงเรียน'!$C$9)&amp;" )"</f>
        <v/>
      </c>
      <c r="X20" s="246">
        <f>"( "&amp;IF('ข้อมูลโรงเรียน'!$C$11="","..................................................",'ข้อมูลโรงเรียน'!$C$11)&amp;" )"</f>
        <v/>
      </c>
    </row>
    <row r="21">
      <c r="B21" s="277" t="inlineStr">
        <is>
          <t>ครูประจำชั้น</t>
        </is>
      </c>
      <c r="X21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2">
    <mergeCell ref="B5:B8"/>
    <mergeCell ref="C5:C8"/>
    <mergeCell ref="AI6:AI8"/>
    <mergeCell ref="AI5:AK5"/>
    <mergeCell ref="A14:C14"/>
    <mergeCell ref="AJ6:AJ8"/>
    <mergeCell ref="D5:AH5"/>
    <mergeCell ref="A17:C17"/>
    <mergeCell ref="A5:A8"/>
    <mergeCell ref="AK6:AK8"/>
    <mergeCell ref="A16:C16"/>
    <mergeCell ref="A15:C15"/>
  </mergeCells>
  <conditionalFormatting sqref="A9:LH13">
    <cfRule type="expression" priority="1" dxfId="0" stopIfTrue="1">
      <formula>$B9=""</formula>
    </cfRule>
  </conditionalFormatting>
  <conditionalFormatting sqref="D6:AH17">
    <cfRule type="expression" priority="2" dxfId="5" stopIfTrue="1">
      <formula>D$4=0</formula>
    </cfRule>
    <cfRule type="expression" priority="3" dxfId="6" stopIfTrue="1">
      <formula>D$4=4</formula>
    </cfRule>
    <cfRule type="expression" priority="4" dxfId="7" stopIfTrue="1">
      <formula>D$4=3</formula>
    </cfRule>
    <cfRule type="expression" priority="5" dxfId="8" stopIfTrue="1">
      <formula>D$4=2</formula>
    </cfRule>
  </conditionalFormatting>
  <conditionalFormatting sqref="D9:AH13">
    <cfRule type="expression" priority="6" dxfId="9">
      <formula>D9="ม"</formula>
    </cfRule>
    <cfRule type="expression" priority="7" dxfId="10">
      <formula>D9="ส"</formula>
    </cfRule>
    <cfRule type="expression" priority="8" dxfId="11">
      <formula>D9="ล"</formula>
    </cfRule>
    <cfRule type="expression" priority="9" dxfId="12">
      <formula>D9="ป"</formula>
    </cfRule>
    <cfRule type="expression" priority="10" dxfId="1">
      <formula>D9="ข"</formula>
    </cfRule>
    <cfRule type="expression" priority="11" dxfId="2">
      <formula>D9="✓"</formula>
    </cfRule>
    <cfRule type="expression" priority="12" dxfId="1">
      <formula>D9="✗"</formula>
    </cfRule>
    <cfRule type="expression" priority="13" dxfId="2">
      <formula>D9="ห"</formula>
    </cfRule>
    <cfRule type="expression" priority="14" dxfId="1">
      <formula>D9="ง"</formula>
    </cfRule>
    <cfRule type="expression" priority="15" dxfId="2">
      <formula>D9="น"</formula>
    </cfRule>
    <cfRule type="expression" priority="16" dxfId="11">
      <formula>D9="พ"</formula>
    </cfRule>
    <cfRule type="expression" priority="17" dxfId="2">
      <formula>D9="อ"</formula>
    </cfRule>
    <cfRule type="expression" priority="18" dxfId="11">
      <formula>D9="ช"</formula>
    </cfRule>
    <cfRule type="expression" priority="19" dxfId="1">
      <formula>D9="ร"</formula>
    </cfRule>
    <cfRule type="expression" priority="20" dxfId="12">
      <formula>D9="ผ"</formula>
    </cfRule>
  </conditionalFormatting>
  <dataValidations count="2">
    <dataValidation sqref="AN3" showDropDown="0" showInputMessage="0" showErrorMessage="0" allowBlank="1" errorTitle="ตรวจสอบข้อมูล" error="ข้อมูลไม่ถูกต้อง กรุณาเลือกจากรายการ" type="list">
      <formula1>"การมาเรียน,การดื่มนม,การแปรงฟัน,การออมเงิน,การรับประทานอาหารกลางวัน,การทำความสะอาด,กิจกรรมหน้าเสาธง,การออกกำลังกาย,การนอนพักผ่อนกลางวัน,การขับถ่าย"</formula1>
    </dataValidation>
    <dataValidation sqref="AN4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"พฤษภาคม,มิถุนายน,กรกฎาคม,สิงหาคม,กันยายน,ตุลาคม,พฤศจิกายน,ธันวาคม,มกราคม,กุมภาพันธ์,มีนาคม"</formula1>
    </dataValidation>
  </dataValidations>
  <hyperlinks>
    <hyperlink ref="A1" location="'หน้าหลัก'!A1" display="🏠"/>
  </hyperlinks>
  <pageMargins left="0.35" right="0.35" top="0.45" bottom="0.45" header="0.5" footer="0.5"/>
  <pageSetup orientation="portrait" paperSize="9" fitToHeight="1" fitToWidth="1"/>
  <drawing xmlns:r="http://schemas.openxmlformats.org/officeDocument/2006/relationships" r:id="rId1"/>
</worksheet>
</file>

<file path=xl/worksheets/sheet45.xml><?xml version="1.0" encoding="utf-8"?>
<worksheet xmlns="http://schemas.openxmlformats.org/spreadsheetml/2006/main">
  <sheetPr>
    <tabColor rgb="00EF8B55"/>
    <outlinePr summaryBelow="1" summaryRight="1"/>
    <pageSetUpPr fitToPage="1"/>
  </sheetPr>
  <dimension ref="A1:L30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15" customWidth="1" min="8" max="8"/>
    <col width="13" customWidth="1" min="9" max="9"/>
    <col width="15" customWidth="1" min="10" max="10"/>
    <col width="3" customWidth="1" min="11" max="11"/>
    <col width="44" customWidth="1" min="12" max="12"/>
  </cols>
  <sheetData>
    <row r="1" ht="48" customHeight="1">
      <c r="A1" s="844" t="inlineStr">
        <is>
          <t>🏠</t>
        </is>
      </c>
      <c r="B1" s="845" t="n"/>
      <c r="C1" s="845" t="n"/>
      <c r="D1" s="845" t="n"/>
      <c r="E1" s="845" t="n"/>
      <c r="F1" s="845" t="n"/>
      <c r="G1" s="845" t="n"/>
      <c r="H1" s="845" t="n"/>
      <c r="I1" s="845" t="n"/>
      <c r="J1" s="845" t="n"/>
      <c r="K1" s="845" t="n"/>
      <c r="L1" s="845" t="n"/>
    </row>
    <row r="2" ht="20" customHeight="1">
      <c r="A2" s="846" t="inlineStr">
        <is>
          <t>หน้าหลัก</t>
        </is>
      </c>
      <c r="B2" s="847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848" t="n"/>
      <c r="D2" s="848" t="n"/>
      <c r="E2" s="848" t="n"/>
      <c r="F2" s="848" t="n"/>
      <c r="G2" s="848" t="n"/>
      <c r="H2" s="848" t="n"/>
      <c r="I2" s="848" t="n"/>
      <c r="J2" s="848" t="n"/>
      <c r="K2" s="848" t="n"/>
      <c r="L2" s="848" t="n"/>
    </row>
    <row r="3"/>
    <row r="4">
      <c r="B4" s="849" t="inlineStr">
        <is>
          <t>ตั้งค่าอัตรา</t>
        </is>
      </c>
      <c r="L4" s="502" t="inlineStr">
        <is>
          <t>อัตราค่าอาหารกลางวัน (ตั้งแต่ปีงบประมาณ 2567):</t>
        </is>
      </c>
    </row>
    <row r="5">
      <c r="B5" s="850" t="inlineStr">
        <is>
          <t>จำนวนนักเรียนทั้งโรงเรียน (คน)</t>
        </is>
      </c>
      <c r="C5" s="851" t="n"/>
      <c r="L5" s="189" t="inlineStr">
        <is>
          <t>• นักเรียน 1-40 คน = 36 บาท   • 41-100 คน = 27 บาท</t>
        </is>
      </c>
    </row>
    <row r="6">
      <c r="B6" s="850" t="inlineStr">
        <is>
          <t>อัตราค่าอาหารกลางวันตามขนาดโรงเรียน (บาท/คน/วัน)</t>
        </is>
      </c>
      <c r="C6" s="852">
        <f>IF(N(C5)=0,22,IF(C5&lt;=40,36,IF(C5&lt;=100,27,IF(C5&lt;=120,24,22))))</f>
        <v/>
      </c>
      <c r="L6" s="189" t="inlineStr">
        <is>
          <t>• 101-120 คน = 24 บาท   • 121 คนขึ้นไป = 22 บาท</t>
        </is>
      </c>
    </row>
    <row r="7">
      <c r="B7" s="850" t="inlineStr">
        <is>
          <t>อัตราที่ใช้จริง (เว้นว่าง = ใช้อัตราตามขนาด)</t>
        </is>
      </c>
      <c r="C7" s="853" t="n"/>
      <c r="L7" s="189" t="inlineStr">
        <is>
          <t>ตรวจสอบประกาศของต้นสังกัดปีปัจจุบัน และแก้ไขช่อง “อัตราที่ใช้จริง” ได้</t>
        </is>
      </c>
    </row>
    <row r="8">
      <c r="B8" s="850" t="inlineStr">
        <is>
          <t>ราคานมต่อกล่อง (บาท) — ใส่ถ้าต้องการคำนวณ</t>
        </is>
      </c>
      <c r="C8" s="853" t="n"/>
      <c r="L8" s="189" t="inlineStr"/>
    </row>
    <row r="9">
      <c r="L9" s="189" t="inlineStr">
        <is>
          <t>“ตามจำนวนนักเรียน” = นักเรียนทั้งหมด × วันเรียน × อัตรา</t>
        </is>
      </c>
    </row>
    <row r="10">
      <c r="L10" s="189" t="inlineStr">
        <is>
          <t>“ตามที่มาเรียนจริง” = จำนวนคน-วันที่มาเรียน × อัตรา</t>
        </is>
      </c>
    </row>
    <row r="11" ht="34" customHeight="1">
      <c r="B11" s="854" t="inlineStr">
        <is>
          <t>เดือน</t>
        </is>
      </c>
      <c r="C11" s="854" t="inlineStr">
        <is>
          <t>วันเรียน</t>
        </is>
      </c>
      <c r="D11" s="854" t="inlineStr">
        <is>
          <t>นักเรียน
(คน)</t>
        </is>
      </c>
      <c r="E11" s="854" t="inlineStr">
        <is>
          <t>คน-วัน
ที่มาเรียน</t>
        </is>
      </c>
      <c r="F11" s="854" t="inlineStr">
        <is>
          <t>ร้อยละ
มาเรียน</t>
        </is>
      </c>
      <c r="G11" s="854" t="inlineStr">
        <is>
          <t>งบอาหาร
ตามจำนวนนักเรียน</t>
        </is>
      </c>
      <c r="H11" s="854" t="inlineStr">
        <is>
          <t>งบอาหาร
ตามที่มาเรียนจริง</t>
        </is>
      </c>
      <c r="I11" s="854" t="inlineStr">
        <is>
          <t>นมที่ดื่ม
(กล่อง)</t>
        </is>
      </c>
      <c r="J11" s="854" t="inlineStr">
        <is>
          <t>ค่านม
(บาท)</t>
        </is>
      </c>
      <c r="L11" s="189" t="inlineStr">
        <is>
          <t>(นับรวมมาสาย จากแบบบันทึกการมาเรียน)</t>
        </is>
      </c>
    </row>
    <row r="12">
      <c r="B12" s="855">
        <f>"พฤษภาคม "&amp;('ข้อมูลโรงเรียน'!$C$12-543+543)</f>
        <v/>
      </c>
      <c r="C12" s="856">
        <f>COUNTIF('ปฏิทิน'!$D$2:$AH$2,1)</f>
        <v/>
      </c>
      <c r="D12" s="856">
        <f>COUNTIF('ข้อมูลนักเรียน'!$E$9:$E$13,"?*")</f>
        <v/>
      </c>
      <c r="E12" s="857">
        <f>N('มาเรียน-ภ1'!AI14)</f>
        <v/>
      </c>
      <c r="F12" s="858">
        <f>IFERROR(E12/(C12*D12),"")</f>
        <v/>
      </c>
      <c r="G12" s="859">
        <f>C12*D12*IF(N($C$7)&gt;0,$C$7,$C$6)</f>
        <v/>
      </c>
      <c r="H12" s="859">
        <f>E12*IF(N($C$7)&gt;0,$C$7,$C$6)</f>
        <v/>
      </c>
      <c r="I12" s="857">
        <f>N('ดื่มนม-ภ1'!AI14)</f>
        <v/>
      </c>
      <c r="J12" s="860">
        <f>IF(N($C$8)=0,"",I12*$C$8)</f>
        <v/>
      </c>
    </row>
    <row r="13">
      <c r="B13" s="861">
        <f>"มิถุนายน "&amp;('ข้อมูลโรงเรียน'!$C$12-543+543)</f>
        <v/>
      </c>
      <c r="C13" s="862">
        <f>COUNTIF('ปฏิทิน'!$AL$2:$BP$2,1)</f>
        <v/>
      </c>
      <c r="D13" s="862">
        <f>COUNTIF('ข้อมูลนักเรียน'!$E$9:$E$13,"?*")</f>
        <v/>
      </c>
      <c r="E13" s="863">
        <f>N('มาเรียน-ภ1'!BQ14)</f>
        <v/>
      </c>
      <c r="F13" s="864">
        <f>IFERROR(E13/(C13*D13),"")</f>
        <v/>
      </c>
      <c r="G13" s="865">
        <f>C13*D13*IF(N($C$7)&gt;0,$C$7,$C$6)</f>
        <v/>
      </c>
      <c r="H13" s="865">
        <f>E13*IF(N($C$7)&gt;0,$C$7,$C$6)</f>
        <v/>
      </c>
      <c r="I13" s="863">
        <f>N('ดื่มนม-ภ1'!BQ14)</f>
        <v/>
      </c>
      <c r="J13" s="866">
        <f>IF(N($C$8)=0,"",I13*$C$8)</f>
        <v/>
      </c>
    </row>
    <row r="14">
      <c r="B14" s="855">
        <f>"กรกฎาคม "&amp;('ข้อมูลโรงเรียน'!$C$12-543+543)</f>
        <v/>
      </c>
      <c r="C14" s="856">
        <f>COUNTIF('ปฏิทิน'!$BT$2:$CX$2,1)</f>
        <v/>
      </c>
      <c r="D14" s="856">
        <f>COUNTIF('ข้อมูลนักเรียน'!$E$9:$E$13,"?*")</f>
        <v/>
      </c>
      <c r="E14" s="857">
        <f>N('มาเรียน-ภ1'!CY14)</f>
        <v/>
      </c>
      <c r="F14" s="858">
        <f>IFERROR(E14/(C14*D14),"")</f>
        <v/>
      </c>
      <c r="G14" s="859">
        <f>C14*D14*IF(N($C$7)&gt;0,$C$7,$C$6)</f>
        <v/>
      </c>
      <c r="H14" s="859">
        <f>E14*IF(N($C$7)&gt;0,$C$7,$C$6)</f>
        <v/>
      </c>
      <c r="I14" s="857">
        <f>N('ดื่มนม-ภ1'!CY14)</f>
        <v/>
      </c>
      <c r="J14" s="860">
        <f>IF(N($C$8)=0,"",I14*$C$8)</f>
        <v/>
      </c>
    </row>
    <row r="15">
      <c r="B15" s="861">
        <f>"สิงหาคม "&amp;('ข้อมูลโรงเรียน'!$C$12-543+543)</f>
        <v/>
      </c>
      <c r="C15" s="862">
        <f>COUNTIF('ปฏิทิน'!$DB$2:$EF$2,1)</f>
        <v/>
      </c>
      <c r="D15" s="862">
        <f>COUNTIF('ข้อมูลนักเรียน'!$E$9:$E$13,"?*")</f>
        <v/>
      </c>
      <c r="E15" s="863">
        <f>N('มาเรียน-ภ1'!EG14)</f>
        <v/>
      </c>
      <c r="F15" s="864">
        <f>IFERROR(E15/(C15*D15),"")</f>
        <v/>
      </c>
      <c r="G15" s="865">
        <f>C15*D15*IF(N($C$7)&gt;0,$C$7,$C$6)</f>
        <v/>
      </c>
      <c r="H15" s="865">
        <f>E15*IF(N($C$7)&gt;0,$C$7,$C$6)</f>
        <v/>
      </c>
      <c r="I15" s="863">
        <f>N('ดื่มนม-ภ1'!EG14)</f>
        <v/>
      </c>
      <c r="J15" s="866">
        <f>IF(N($C$8)=0,"",I15*$C$8)</f>
        <v/>
      </c>
    </row>
    <row r="16">
      <c r="B16" s="855">
        <f>"กันยายน "&amp;('ข้อมูลโรงเรียน'!$C$12-543+543)</f>
        <v/>
      </c>
      <c r="C16" s="856">
        <f>COUNTIF('ปฏิทิน'!$EJ$2:$FN$2,1)</f>
        <v/>
      </c>
      <c r="D16" s="856">
        <f>COUNTIF('ข้อมูลนักเรียน'!$E$9:$E$13,"?*")</f>
        <v/>
      </c>
      <c r="E16" s="857">
        <f>N('มาเรียน-ภ1'!FO14)</f>
        <v/>
      </c>
      <c r="F16" s="858">
        <f>IFERROR(E16/(C16*D16),"")</f>
        <v/>
      </c>
      <c r="G16" s="859">
        <f>C16*D16*IF(N($C$7)&gt;0,$C$7,$C$6)</f>
        <v/>
      </c>
      <c r="H16" s="859">
        <f>E16*IF(N($C$7)&gt;0,$C$7,$C$6)</f>
        <v/>
      </c>
      <c r="I16" s="857">
        <f>N('ดื่มนม-ภ1'!FO14)</f>
        <v/>
      </c>
      <c r="J16" s="860">
        <f>IF(N($C$8)=0,"",I16*$C$8)</f>
        <v/>
      </c>
    </row>
    <row r="17">
      <c r="B17" s="861">
        <f>"ตุลาคม "&amp;('ข้อมูลโรงเรียน'!$C$12-543+543)</f>
        <v/>
      </c>
      <c r="C17" s="862">
        <f>COUNTIF('ปฏิทิน'!$FR$2:$GV$2,1)</f>
        <v/>
      </c>
      <c r="D17" s="862">
        <f>COUNTIF('ข้อมูลนักเรียน'!$E$9:$E$13,"?*")</f>
        <v/>
      </c>
      <c r="E17" s="863">
        <f>N('มาเรียน-ภ1'!GW14)</f>
        <v/>
      </c>
      <c r="F17" s="864">
        <f>IFERROR(E17/(C17*D17),"")</f>
        <v/>
      </c>
      <c r="G17" s="865">
        <f>C17*D17*IF(N($C$7)&gt;0,$C$7,$C$6)</f>
        <v/>
      </c>
      <c r="H17" s="865">
        <f>E17*IF(N($C$7)&gt;0,$C$7,$C$6)</f>
        <v/>
      </c>
      <c r="I17" s="863">
        <f>N('ดื่มนม-ภ1'!GW14)</f>
        <v/>
      </c>
      <c r="J17" s="866">
        <f>IF(N($C$8)=0,"",I17*$C$8)</f>
        <v/>
      </c>
    </row>
    <row r="18">
      <c r="B18" s="855">
        <f>"พฤศจิกายน "&amp;('ข้อมูลโรงเรียน'!$C$12-543+543)</f>
        <v/>
      </c>
      <c r="C18" s="856">
        <f>COUNTIF('ปฏิทิน'!$D$6:$AH$6,1)</f>
        <v/>
      </c>
      <c r="D18" s="856">
        <f>COUNTIF('ข้อมูลนักเรียน'!$E$9:$E$13,"?*")</f>
        <v/>
      </c>
      <c r="E18" s="857">
        <f>N('มาเรียน-ภ2'!AI14)</f>
        <v/>
      </c>
      <c r="F18" s="858">
        <f>IFERROR(E18/(C18*D18),"")</f>
        <v/>
      </c>
      <c r="G18" s="859">
        <f>C18*D18*IF(N($C$7)&gt;0,$C$7,$C$6)</f>
        <v/>
      </c>
      <c r="H18" s="859">
        <f>E18*IF(N($C$7)&gt;0,$C$7,$C$6)</f>
        <v/>
      </c>
      <c r="I18" s="857">
        <f>N('ดื่มนม-ภ2'!AI14)</f>
        <v/>
      </c>
      <c r="J18" s="860">
        <f>IF(N($C$8)=0,"",I18*$C$8)</f>
        <v/>
      </c>
    </row>
    <row r="19">
      <c r="B19" s="861">
        <f>"ธันวาคม "&amp;('ข้อมูลโรงเรียน'!$C$12-543+543)</f>
        <v/>
      </c>
      <c r="C19" s="862">
        <f>COUNTIF('ปฏิทิน'!$AL$6:$BP$6,1)</f>
        <v/>
      </c>
      <c r="D19" s="862">
        <f>COUNTIF('ข้อมูลนักเรียน'!$E$9:$E$13,"?*")</f>
        <v/>
      </c>
      <c r="E19" s="863">
        <f>N('มาเรียน-ภ2'!BQ14)</f>
        <v/>
      </c>
      <c r="F19" s="864">
        <f>IFERROR(E19/(C19*D19),"")</f>
        <v/>
      </c>
      <c r="G19" s="865">
        <f>C19*D19*IF(N($C$7)&gt;0,$C$7,$C$6)</f>
        <v/>
      </c>
      <c r="H19" s="865">
        <f>E19*IF(N($C$7)&gt;0,$C$7,$C$6)</f>
        <v/>
      </c>
      <c r="I19" s="863">
        <f>N('ดื่มนม-ภ2'!BQ14)</f>
        <v/>
      </c>
      <c r="J19" s="866">
        <f>IF(N($C$8)=0,"",I19*$C$8)</f>
        <v/>
      </c>
    </row>
    <row r="20">
      <c r="B20" s="855">
        <f>"มกราคม "&amp;('ข้อมูลโรงเรียน'!$C$12-542+543)</f>
        <v/>
      </c>
      <c r="C20" s="856">
        <f>COUNTIF('ปฏิทิน'!$BT$6:$CX$6,1)</f>
        <v/>
      </c>
      <c r="D20" s="856">
        <f>COUNTIF('ข้อมูลนักเรียน'!$E$9:$E$13,"?*")</f>
        <v/>
      </c>
      <c r="E20" s="857">
        <f>N('มาเรียน-ภ2'!CY14)</f>
        <v/>
      </c>
      <c r="F20" s="858">
        <f>IFERROR(E20/(C20*D20),"")</f>
        <v/>
      </c>
      <c r="G20" s="859">
        <f>C20*D20*IF(N($C$7)&gt;0,$C$7,$C$6)</f>
        <v/>
      </c>
      <c r="H20" s="859">
        <f>E20*IF(N($C$7)&gt;0,$C$7,$C$6)</f>
        <v/>
      </c>
      <c r="I20" s="857">
        <f>N('ดื่มนม-ภ2'!CY14)</f>
        <v/>
      </c>
      <c r="J20" s="860">
        <f>IF(N($C$8)=0,"",I20*$C$8)</f>
        <v/>
      </c>
    </row>
    <row r="21">
      <c r="B21" s="861">
        <f>"กุมภาพันธ์ "&amp;('ข้อมูลโรงเรียน'!$C$12-542+543)</f>
        <v/>
      </c>
      <c r="C21" s="862">
        <f>COUNTIF('ปฏิทิน'!$DB$6:$EF$6,1)</f>
        <v/>
      </c>
      <c r="D21" s="862">
        <f>COUNTIF('ข้อมูลนักเรียน'!$E$9:$E$13,"?*")</f>
        <v/>
      </c>
      <c r="E21" s="863">
        <f>N('มาเรียน-ภ2'!EG14)</f>
        <v/>
      </c>
      <c r="F21" s="864">
        <f>IFERROR(E21/(C21*D21),"")</f>
        <v/>
      </c>
      <c r="G21" s="865">
        <f>C21*D21*IF(N($C$7)&gt;0,$C$7,$C$6)</f>
        <v/>
      </c>
      <c r="H21" s="865">
        <f>E21*IF(N($C$7)&gt;0,$C$7,$C$6)</f>
        <v/>
      </c>
      <c r="I21" s="863">
        <f>N('ดื่มนม-ภ2'!EG14)</f>
        <v/>
      </c>
      <c r="J21" s="866">
        <f>IF(N($C$8)=0,"",I21*$C$8)</f>
        <v/>
      </c>
    </row>
    <row r="22">
      <c r="B22" s="855">
        <f>"มีนาคม "&amp;('ข้อมูลโรงเรียน'!$C$12-542+543)</f>
        <v/>
      </c>
      <c r="C22" s="856">
        <f>COUNTIF('ปฏิทิน'!$EJ$6:$FN$6,1)</f>
        <v/>
      </c>
      <c r="D22" s="856">
        <f>COUNTIF('ข้อมูลนักเรียน'!$E$9:$E$13,"?*")</f>
        <v/>
      </c>
      <c r="E22" s="857">
        <f>N('มาเรียน-ภ2'!FO14)</f>
        <v/>
      </c>
      <c r="F22" s="858">
        <f>IFERROR(E22/(C22*D22),"")</f>
        <v/>
      </c>
      <c r="G22" s="859">
        <f>C22*D22*IF(N($C$7)&gt;0,$C$7,$C$6)</f>
        <v/>
      </c>
      <c r="H22" s="859">
        <f>E22*IF(N($C$7)&gt;0,$C$7,$C$6)</f>
        <v/>
      </c>
      <c r="I22" s="857">
        <f>N('ดื่มนม-ภ2'!FO14)</f>
        <v/>
      </c>
      <c r="J22" s="860">
        <f>IF(N($C$8)=0,"",I22*$C$8)</f>
        <v/>
      </c>
    </row>
    <row r="23">
      <c r="B23" s="867" t="inlineStr">
        <is>
          <t>รวมทั้งปีการศึกษา</t>
        </is>
      </c>
      <c r="C23" s="868">
        <f>SUM(C12:C22)</f>
        <v/>
      </c>
      <c r="D23" s="869">
        <f>COUNTIF('ข้อมูลนักเรียน'!$E$9:$E$13,"?*")</f>
        <v/>
      </c>
      <c r="E23" s="868">
        <f>SUM(E12:E22)</f>
        <v/>
      </c>
      <c r="F23" s="870">
        <f>IFERROR(E23/(C23*D23),"")</f>
        <v/>
      </c>
      <c r="G23" s="871">
        <f>SUM(G12:G22)</f>
        <v/>
      </c>
      <c r="H23" s="871">
        <f>SUM(H12:H22)</f>
        <v/>
      </c>
      <c r="I23" s="868">
        <f>SUM(I12:I22)</f>
        <v/>
      </c>
      <c r="J23" s="871">
        <f>SUM(J12:J22)</f>
        <v/>
      </c>
    </row>
    <row r="24">
      <c r="B24" s="850" t="inlineStr">
        <is>
          <t>รวมภาคเรียนที่ 1</t>
        </is>
      </c>
      <c r="C24" s="872">
        <f>SUM(C12:C17)</f>
        <v/>
      </c>
      <c r="E24" s="872">
        <f>SUM(E12:E17)</f>
        <v/>
      </c>
      <c r="G24" s="873">
        <f>SUM(G12:G17)</f>
        <v/>
      </c>
      <c r="H24" s="873">
        <f>SUM(H12:H17)</f>
        <v/>
      </c>
      <c r="I24" s="872">
        <f>SUM(I12:I17)</f>
        <v/>
      </c>
      <c r="J24" s="873">
        <f>SUM(J12:J17)</f>
        <v/>
      </c>
    </row>
    <row r="25">
      <c r="B25" s="850" t="inlineStr">
        <is>
          <t>รวมภาคเรียนที่ 2</t>
        </is>
      </c>
      <c r="C25" s="872">
        <f>SUM(C18:C22)</f>
        <v/>
      </c>
      <c r="E25" s="872">
        <f>SUM(E18:E22)</f>
        <v/>
      </c>
      <c r="G25" s="873">
        <f>SUM(G18:G22)</f>
        <v/>
      </c>
      <c r="H25" s="873">
        <f>SUM(H18:H22)</f>
        <v/>
      </c>
      <c r="I25" s="872">
        <f>SUM(I18:I22)</f>
        <v/>
      </c>
      <c r="J25" s="873">
        <f>SUM(J18:J22)</f>
        <v/>
      </c>
    </row>
    <row r="26"/>
    <row r="27"/>
    <row r="28">
      <c r="B28" s="246" t="inlineStr">
        <is>
          <t>ลงชื่อ ........................................................</t>
        </is>
      </c>
      <c r="G28" s="246" t="inlineStr">
        <is>
          <t>ลงชื่อ ........................................................</t>
        </is>
      </c>
    </row>
    <row r="29">
      <c r="B29" s="246">
        <f>"( "&amp;IF('ข้อมูลโรงเรียน'!$C$9="","..................................................",'ข้อมูลโรงเรียน'!$C$9)&amp;" )"</f>
        <v/>
      </c>
      <c r="G29" s="246">
        <f>"( "&amp;IF('ข้อมูลโรงเรียน'!$C$11="","..................................................",'ข้อมูลโรงเรียน'!$C$11)&amp;" )"</f>
        <v/>
      </c>
    </row>
    <row r="30">
      <c r="B30" s="277" t="inlineStr">
        <is>
          <t>ครูประจำชั้น</t>
        </is>
      </c>
      <c r="G30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dataValidations count="1">
    <dataValidation sqref="C5:C8" showDropDown="0" showInputMessage="0" showErrorMessage="0" allowBlank="1" errorTitle="ตรวจสอบข้อมูล" error="ข้อมูลไม่ถูกต้อง กรุณาเลือกจากรายการ" type="decimal" operator="between">
      <formula1>0</formula1>
      <formula2>100000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46.xml><?xml version="1.0" encoding="utf-8"?>
<worksheet xmlns="http://schemas.openxmlformats.org/spreadsheetml/2006/main">
  <sheetPr>
    <tabColor rgb="0055C1A0"/>
    <outlinePr summaryBelow="1" summaryRight="1"/>
    <pageSetUpPr fitToPage="1"/>
  </sheetPr>
  <dimension ref="A1:L14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2" customWidth="1" min="5" max="5"/>
    <col width="22" customWidth="1" min="6" max="6"/>
    <col width="14" customWidth="1" min="7" max="7"/>
    <col width="14" customWidth="1" min="8" max="8"/>
    <col width="14" customWidth="1" min="9" max="9"/>
    <col width="3" customWidth="1" min="10" max="10"/>
    <col width="44" customWidth="1" min="11" max="11"/>
  </cols>
  <sheetData>
    <row r="1" ht="48" customHeight="1">
      <c r="A1" s="874" t="inlineStr">
        <is>
          <t>🏠</t>
        </is>
      </c>
      <c r="B1" s="875" t="n"/>
      <c r="C1" s="875" t="n"/>
      <c r="D1" s="875" t="n"/>
      <c r="E1" s="875" t="n"/>
      <c r="F1" s="875" t="n"/>
      <c r="G1" s="875" t="n"/>
      <c r="H1" s="875" t="n"/>
      <c r="I1" s="875" t="n"/>
      <c r="J1" s="875" t="n"/>
      <c r="K1" s="875" t="n"/>
      <c r="L1" s="875" t="n"/>
    </row>
    <row r="2" ht="20" customHeight="1">
      <c r="A2" s="876" t="inlineStr">
        <is>
          <t>หน้าหลัก</t>
        </is>
      </c>
      <c r="B2" s="877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878" t="n"/>
      <c r="D2" s="878" t="n"/>
      <c r="E2" s="878" t="n"/>
      <c r="F2" s="878" t="n"/>
      <c r="G2" s="878" t="n"/>
      <c r="H2" s="878" t="n"/>
      <c r="I2" s="878" t="n"/>
      <c r="J2" s="878" t="n"/>
      <c r="K2" s="878" t="n"/>
      <c r="L2" s="878" t="n"/>
    </row>
    <row r="3"/>
    <row r="4">
      <c r="B4" s="879" t="inlineStr">
        <is>
          <t>อัตราต่อคน (บาท)  — แก้ไขได้ตามประกาศปีปัจจุบัน</t>
        </is>
      </c>
      <c r="K4" s="651" t="inlineStr">
        <is>
          <t>หมายเหตุ</t>
        </is>
      </c>
    </row>
    <row r="5" ht="32" customHeight="1">
      <c r="B5" s="880" t="inlineStr">
        <is>
          <t>รายการ</t>
        </is>
      </c>
      <c r="C5" s="880" t="inlineStr">
        <is>
          <t>ภาคเรียนที่ 1</t>
        </is>
      </c>
      <c r="D5" s="880" t="inlineStr">
        <is>
          <t>ภาคเรียนที่ 2</t>
        </is>
      </c>
      <c r="E5" s="880" t="inlineStr">
        <is>
          <t>รวมต่อปี</t>
        </is>
      </c>
      <c r="F5" s="880" t="inlineStr">
        <is>
          <t>วิธีจ่าย</t>
        </is>
      </c>
      <c r="G5" s="880" t="inlineStr">
        <is>
          <t>รวมทั้งห้อง
ภาค 1</t>
        </is>
      </c>
      <c r="H5" s="880" t="inlineStr">
        <is>
          <t>รวมทั้งห้อง
ภาค 2</t>
        </is>
      </c>
      <c r="I5" s="880" t="inlineStr">
        <is>
          <t>รวมทั้งห้อง
ทั้งปี</t>
        </is>
      </c>
      <c r="K5" s="189" t="inlineStr">
        <is>
          <t>• ค่าเริ่มต้นเป็นอัตราปีงบประมาณ 2568 (ภาค 2/2567 และภาค 1/2568)</t>
        </is>
      </c>
    </row>
    <row r="6">
      <c r="B6" s="881" t="inlineStr">
        <is>
          <t>ค่าจัดการเรียนการสอน</t>
        </is>
      </c>
      <c r="C6" s="882" t="n">
        <v>986</v>
      </c>
      <c r="D6" s="882" t="n">
        <v>986</v>
      </c>
      <c r="E6" s="883">
        <f>N(C6)+N(D6)</f>
        <v/>
      </c>
      <c r="F6" s="192" t="inlineStr">
        <is>
          <t>สถานศึกษาดำเนินการ</t>
        </is>
      </c>
      <c r="G6" s="884">
        <f>N(C6)*COUNTIF('ข้อมูลนักเรียน'!$E$9:$E$13,"?*")</f>
        <v/>
      </c>
      <c r="H6" s="884">
        <f>N(D6)*COUNTIF('ข้อมูลนักเรียน'!$E$9:$E$13,"?*")</f>
        <v/>
      </c>
      <c r="I6" s="883">
        <f>G6+H6</f>
        <v/>
      </c>
      <c r="K6" s="189" t="inlineStr">
        <is>
          <t>• อัตรามีการปรับเพิ่มเป็นขั้นในปีงบประมาณ 2566-2569</t>
        </is>
      </c>
    </row>
    <row r="7">
      <c r="B7" s="881" t="inlineStr">
        <is>
          <t>ค่าหนังสือเรียน</t>
        </is>
      </c>
      <c r="C7" s="882" t="n">
        <v>200</v>
      </c>
      <c r="D7" s="882" t="n">
        <v>0</v>
      </c>
      <c r="E7" s="883">
        <f>N(C7)+N(D7)</f>
        <v/>
      </c>
      <c r="F7" s="192" t="inlineStr">
        <is>
          <t>สถานศึกษาจัดซื้อ</t>
        </is>
      </c>
      <c r="G7" s="884">
        <f>N(C7)*COUNTIF('ข้อมูลนักเรียน'!$E$9:$E$13,"?*")</f>
        <v/>
      </c>
      <c r="H7" s="884">
        <f>N(D7)*COUNTIF('ข้อมูลนักเรียน'!$E$9:$E$13,"?*")</f>
        <v/>
      </c>
      <c r="I7" s="883">
        <f>G7+H7</f>
        <v/>
      </c>
      <c r="K7" s="189" t="inlineStr">
        <is>
          <t xml:space="preserve">  ตรวจสอบหนังสือแจ้งจัดสรรของต้นสังกัด แล้วแก้ไขช่องสีเหลือง</t>
        </is>
      </c>
    </row>
    <row r="8">
      <c r="B8" s="881" t="inlineStr">
        <is>
          <t>ค่าอุปกรณ์การเรียน</t>
        </is>
      </c>
      <c r="C8" s="882" t="n">
        <v>145</v>
      </c>
      <c r="D8" s="882" t="n">
        <v>145</v>
      </c>
      <c r="E8" s="883">
        <f>N(C8)+N(D8)</f>
        <v/>
      </c>
      <c r="F8" s="192" t="inlineStr">
        <is>
          <t>จ่ายเงินสดผู้ปกครอง</t>
        </is>
      </c>
      <c r="G8" s="884">
        <f>N(C8)*COUNTIF('ข้อมูลนักเรียน'!$E$9:$E$13,"?*")</f>
        <v/>
      </c>
      <c r="H8" s="884">
        <f>N(D8)*COUNTIF('ข้อมูลนักเรียน'!$E$9:$E$13,"?*")</f>
        <v/>
      </c>
      <c r="I8" s="883">
        <f>G8+H8</f>
        <v/>
      </c>
      <c r="K8" s="189" t="inlineStr">
        <is>
          <t>• รายการที่ “จ่ายเงินสดผู้ปกครอง” จะไปขึ้นในหน้า “ใบรับเงิน”</t>
        </is>
      </c>
    </row>
    <row r="9">
      <c r="B9" s="881" t="inlineStr">
        <is>
          <t>ค่าเครื่องแบบนักเรียน</t>
        </is>
      </c>
      <c r="C9" s="882" t="n">
        <v>325</v>
      </c>
      <c r="D9" s="882" t="n">
        <v>0</v>
      </c>
      <c r="E9" s="883">
        <f>N(C9)+N(D9)</f>
        <v/>
      </c>
      <c r="F9" s="192" t="inlineStr">
        <is>
          <t>จ่ายเงินสดผู้ปกครอง</t>
        </is>
      </c>
      <c r="G9" s="884">
        <f>N(C9)*COUNTIF('ข้อมูลนักเรียน'!$E$9:$E$13,"?*")</f>
        <v/>
      </c>
      <c r="H9" s="884">
        <f>N(D9)*COUNTIF('ข้อมูลนักเรียน'!$E$9:$E$13,"?*")</f>
        <v/>
      </c>
      <c r="I9" s="883">
        <f>G9+H9</f>
        <v/>
      </c>
      <c r="K9" s="189" t="inlineStr">
        <is>
          <t xml:space="preserve">  (บัญชีลงลายมือชื่อผู้ปกครองรับเงิน)</t>
        </is>
      </c>
    </row>
    <row r="10">
      <c r="B10" s="881" t="inlineStr">
        <is>
          <t>ค่ากิจกรรมพัฒนาคุณภาพผู้เรียน</t>
        </is>
      </c>
      <c r="C10" s="882" t="n">
        <v>245</v>
      </c>
      <c r="D10" s="882" t="n">
        <v>245</v>
      </c>
      <c r="E10" s="883">
        <f>N(C10)+N(D10)</f>
        <v/>
      </c>
      <c r="F10" s="192" t="inlineStr">
        <is>
          <t>สถานศึกษาดำเนินการ</t>
        </is>
      </c>
      <c r="G10" s="884">
        <f>N(C10)*COUNTIF('ข้อมูลนักเรียน'!$E$9:$E$13,"?*")</f>
        <v/>
      </c>
      <c r="H10" s="884">
        <f>N(D10)*COUNTIF('ข้อมูลนักเรียน'!$E$9:$E$13,"?*")</f>
        <v/>
      </c>
      <c r="I10" s="883">
        <f>G10+H10</f>
        <v/>
      </c>
    </row>
    <row r="11">
      <c r="B11" s="885" t="inlineStr">
        <is>
          <t>รวม</t>
        </is>
      </c>
      <c r="C11" s="886">
        <f>SUM(C6:C10)</f>
        <v/>
      </c>
      <c r="D11" s="886">
        <f>SUM(D6:D10)</f>
        <v/>
      </c>
      <c r="E11" s="886">
        <f>SUM(E6:E10)</f>
        <v/>
      </c>
      <c r="F11" s="887">
        <f>"นักเรียน "&amp;COUNTIF('ข้อมูลนักเรียน'!$E$9:$E$13,"?*")&amp;" คน"</f>
        <v/>
      </c>
      <c r="G11" s="886">
        <f>SUM(G6:G10)</f>
        <v/>
      </c>
      <c r="H11" s="886">
        <f>SUM(H6:H10)</f>
        <v/>
      </c>
      <c r="I11" s="886">
        <f>SUM(I6:I10)</f>
        <v/>
      </c>
    </row>
    <row r="12"/>
    <row r="13"/>
    <row r="14">
      <c r="B14" s="888" t="inlineStr">
        <is>
          <t>พิมพ์ใบรับเงินได้ที่หน้า “ใบรับเงิน”  →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dataValidations count="2">
    <dataValidation sqref="F6:F10" showDropDown="0" showInputMessage="0" showErrorMessage="0" allowBlank="1" errorTitle="ตรวจสอบข้อมูล" error="ข้อมูลไม่ถูกต้อง กรุณาเลือกจากรายการ" type="list">
      <formula1>"จ่ายเงินสดผู้ปกครอง,สถานศึกษาจัดซื้อ,สถานศึกษาดำเนินการ"</formula1>
    </dataValidation>
    <dataValidation sqref="C6:D10" showDropDown="0" showInputMessage="0" showErrorMessage="0" allowBlank="1" errorTitle="ตรวจสอบข้อมูล" error="ข้อมูลไม่ถูกต้อง กรุณาเลือกจากรายการ" type="decimal" operator="between">
      <formula1>0</formula1>
      <formula2>100000</formula2>
    </dataValidation>
  </dataValidations>
  <hyperlinks>
    <hyperlink ref="A1" location="'หน้าหลัก'!A1" display="🏠"/>
    <hyperlink ref="A2" location="'หน้าหลัก'!A1" display="หน้าหลัก"/>
    <hyperlink ref="B14" location="'ใบรับเงิน'!A1" display="พิมพ์ใบรับเงินได้ที่หน้า “ใบรับเงิน”  →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47.xml><?xml version="1.0" encoding="utf-8"?>
<worksheet xmlns="http://schemas.openxmlformats.org/spreadsheetml/2006/main">
  <sheetPr>
    <tabColor rgb="0055C1A0"/>
    <outlinePr summaryBelow="1" summaryRight="1"/>
    <pageSetUpPr fitToPage="1"/>
  </sheetPr>
  <dimension ref="A1:R18"/>
  <sheetViews>
    <sheetView tabSelected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11" customWidth="1" min="8" max="8"/>
    <col width="3" customWidth="1" min="9" max="9"/>
    <col width="14" customWidth="1" min="10" max="10"/>
    <col width="30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26" customHeight="1">
      <c r="A1" s="889">
        <f>"บัญชีลงลายมือชื่อผู้ปกครองรับเงินอุดหนุน  ภาคเรียนที่ "&amp;$K$3&amp;"/"&amp;'ข้อมูลโรงเรียน'!$C$12</f>
        <v/>
      </c>
      <c r="J1" s="827" t="inlineStr">
        <is>
          <t>เลือกภาคเรียน</t>
        </is>
      </c>
      <c r="N1">
        <f>IF('เงินอุดหนุน'!$F$6="จ่ายเงินสดผู้ปกครอง",IF($K$3=2,N('เงินอุดหนุน'!$D$6),N('เงินอุดหนุน'!$C$6)),0)</f>
        <v/>
      </c>
      <c r="O1">
        <f>IF(N1&gt;0,ROW(),"")</f>
        <v/>
      </c>
      <c r="P1">
        <f>IFERROR(SMALL($O$1:$O$5,1),0)</f>
        <v/>
      </c>
      <c r="Q1">
        <f>IF(P1=0,"",INDEX('เงินอุดหนุน'!$B$6:$B$10,P1))</f>
        <v/>
      </c>
      <c r="R1">
        <f>IF(P1=0,0,INDEX($N$1:$N$5,P1))</f>
        <v/>
      </c>
    </row>
    <row r="2">
      <c r="A2" s="890">
        <f>"โรงเรียน"&amp;'ข้อมูลโรงเรียน'!$C$5&amp;"   ชั้น"&amp;'ข้อมูลโรงเรียน'!$C$7&amp;"/"&amp;'ข้อมูลโรงเรียน'!$C$8&amp;IF($K$4="","","   วันที่จ่าย "&amp;$K$4)</f>
        <v/>
      </c>
      <c r="N2">
        <f>IF('เงินอุดหนุน'!$F$7="จ่ายเงินสดผู้ปกครอง",IF($K$3=2,N('เงินอุดหนุน'!$D$7),N('เงินอุดหนุน'!$C$7)),0)</f>
        <v/>
      </c>
      <c r="O2">
        <f>IF(N2&gt;0,ROW(),"")</f>
        <v/>
      </c>
      <c r="P2">
        <f>IFERROR(SMALL($O$1:$O$5,2),0)</f>
        <v/>
      </c>
      <c r="Q2">
        <f>IF(P2=0,"",INDEX('เงินอุดหนุน'!$B$6:$B$10,P2))</f>
        <v/>
      </c>
      <c r="R2">
        <f>IF(P2=0,0,INDEX($N$1:$N$5,P2))</f>
        <v/>
      </c>
    </row>
    <row r="3">
      <c r="A3" s="891">
        <f>"รายการ: "&amp;IF(Q1="","(ไม่มีรายการจ่ายเงินสด)",Q1&amp;IF(Q2="",""," • "&amp;Q2)&amp;IF(Q3="",""," • "&amp;Q3)&amp;IF(Q4="",""," • "&amp;Q4))</f>
        <v/>
      </c>
      <c r="J3" s="892" t="inlineStr">
        <is>
          <t>ภาคเรียนที่</t>
        </is>
      </c>
      <c r="K3" s="893" t="n">
        <v>1</v>
      </c>
      <c r="N3">
        <f>IF('เงินอุดหนุน'!$F$8="จ่ายเงินสดผู้ปกครอง",IF($K$3=2,N('เงินอุดหนุน'!$D$8),N('เงินอุดหนุน'!$C$8)),0)</f>
        <v/>
      </c>
      <c r="O3">
        <f>IF(N3&gt;0,ROW(),"")</f>
        <v/>
      </c>
      <c r="P3">
        <f>IFERROR(SMALL($O$1:$O$5,3),0)</f>
        <v/>
      </c>
      <c r="Q3">
        <f>IF(P3=0,"",INDEX('เงินอุดหนุน'!$B$6:$B$10,P3))</f>
        <v/>
      </c>
      <c r="R3">
        <f>IF(P3=0,0,INDEX($N$1:$N$5,P3))</f>
        <v/>
      </c>
    </row>
    <row r="4">
      <c r="J4" s="892" t="inlineStr">
        <is>
          <t>วันที่จ่ายเงิน</t>
        </is>
      </c>
      <c r="K4" s="893" t="inlineStr"/>
      <c r="N4">
        <f>IF('เงินอุดหนุน'!$F$9="จ่ายเงินสดผู้ปกครอง",IF($K$3=2,N('เงินอุดหนุน'!$D$9),N('เงินอุดหนุน'!$C$9)),0)</f>
        <v/>
      </c>
      <c r="O4">
        <f>IF(N4&gt;0,ROW(),"")</f>
        <v/>
      </c>
      <c r="P4">
        <f>IFERROR(SMALL($O$1:$O$5,4),0)</f>
        <v/>
      </c>
      <c r="Q4">
        <f>IF(P4=0,"",INDEX('เงินอุดหนุน'!$B$6:$B$10,P4))</f>
        <v/>
      </c>
      <c r="R4">
        <f>IF(P4=0,0,INDEX($N$1:$N$5,P4))</f>
        <v/>
      </c>
    </row>
    <row r="5" ht="30" customHeight="1">
      <c r="A5" s="887" t="inlineStr">
        <is>
          <t>เลขที่</t>
        </is>
      </c>
      <c r="B5" s="887" t="inlineStr">
        <is>
          <t>ชื่อ - สกุลนักเรียน</t>
        </is>
      </c>
      <c r="C5" s="894">
        <f>IF(Q1="","-",Q1)</f>
        <v/>
      </c>
      <c r="D5" s="894">
        <f>IF(Q2="","-",Q2)</f>
        <v/>
      </c>
      <c r="E5" s="894">
        <f>IF(Q3="","-",Q3)</f>
        <v/>
      </c>
      <c r="F5" s="894">
        <f>IF(Q4="","-",Q4)</f>
        <v/>
      </c>
      <c r="G5" s="887" t="inlineStr">
        <is>
          <t>ลายมือชื่อผู้ปกครอง (ผู้รับเงิน)</t>
        </is>
      </c>
      <c r="H5" s="887" t="inlineStr">
        <is>
          <t>รวมเงิน
(บาท)</t>
        </is>
      </c>
      <c r="J5" s="189" t="inlineStr"/>
      <c r="N5">
        <f>IF('เงินอุดหนุน'!$F$10="จ่ายเงินสดผู้ปกครอง",IF($K$3=2,N('เงินอุดหนุน'!$D$10),N('เงินอุดหนุน'!$C$10)),0)</f>
        <v/>
      </c>
      <c r="O5">
        <f>IF(N5&gt;0,ROW(),"")</f>
        <v/>
      </c>
    </row>
    <row r="6">
      <c r="C6" s="671">
        <f>IF(R1=0,"",TEXT(R1,"#,##0")&amp;" บาท")</f>
        <v/>
      </c>
      <c r="D6" s="671">
        <f>IF(R2=0,"",TEXT(R2,"#,##0")&amp;" บาท")</f>
        <v/>
      </c>
      <c r="E6" s="671">
        <f>IF(R3=0,"",TEXT(R3,"#,##0")&amp;" บาท")</f>
        <v/>
      </c>
      <c r="F6" s="671">
        <f>IF(R4=0,"",TEXT(R4,"#,##0")&amp;" บาท")</f>
        <v/>
      </c>
      <c r="J6" s="189" t="inlineStr">
        <is>
          <t>ระบบดึงรายการที่ตั้งค่าเป็น</t>
        </is>
      </c>
    </row>
    <row r="7" ht="20" customHeight="1">
      <c r="A7" s="157" t="n">
        <v>1</v>
      </c>
      <c r="B7" s="242">
        <f>'ข้อมูลนักเรียน'!T9</f>
        <v/>
      </c>
      <c r="C7" s="146">
        <f>IF(OR($B7="",R1=0),"",R1)</f>
        <v/>
      </c>
      <c r="D7" s="146">
        <f>IF(OR($B7="",R2=0),"",R2)</f>
        <v/>
      </c>
      <c r="E7" s="146">
        <f>IF(OR($B7="",R3=0),"",R3)</f>
        <v/>
      </c>
      <c r="F7" s="146">
        <f>IF(OR($B7="",R4=0),"",R4)</f>
        <v/>
      </c>
      <c r="G7" s="157" t="n"/>
      <c r="H7" s="895">
        <f>IF($B7="","",SUM(C7:F7))</f>
        <v/>
      </c>
      <c r="J7" s="189" t="inlineStr">
        <is>
          <t>“จ่ายเงินสดผู้ปกครอง”</t>
        </is>
      </c>
    </row>
    <row r="8" ht="20" customHeight="1">
      <c r="A8" s="157" t="n">
        <v>2</v>
      </c>
      <c r="B8" s="242">
        <f>'ข้อมูลนักเรียน'!T10</f>
        <v/>
      </c>
      <c r="C8" s="146">
        <f>IF(OR($B8="",R1=0),"",R1)</f>
        <v/>
      </c>
      <c r="D8" s="146">
        <f>IF(OR($B8="",R2=0),"",R2)</f>
        <v/>
      </c>
      <c r="E8" s="146">
        <f>IF(OR($B8="",R3=0),"",R3)</f>
        <v/>
      </c>
      <c r="F8" s="146">
        <f>IF(OR($B8="",R4=0),"",R4)</f>
        <v/>
      </c>
      <c r="G8" s="157" t="n"/>
      <c r="H8" s="895">
        <f>IF($B8="","",SUM(C8:F8))</f>
        <v/>
      </c>
      <c r="J8" s="189" t="inlineStr">
        <is>
          <t>จากหน้า “เงินอุดหนุน” (สูงสุด 4 รายการ)</t>
        </is>
      </c>
    </row>
    <row r="9" ht="20" customHeight="1">
      <c r="A9" s="157" t="n">
        <v>3</v>
      </c>
      <c r="B9" s="242">
        <f>'ข้อมูลนักเรียน'!T11</f>
        <v/>
      </c>
      <c r="C9" s="146">
        <f>IF(OR($B9="",R1=0),"",R1)</f>
        <v/>
      </c>
      <c r="D9" s="146">
        <f>IF(OR($B9="",R2=0),"",R2)</f>
        <v/>
      </c>
      <c r="E9" s="146">
        <f>IF(OR($B9="",R3=0),"",R3)</f>
        <v/>
      </c>
      <c r="F9" s="146">
        <f>IF(OR($B9="",R4=0),"",R4)</f>
        <v/>
      </c>
      <c r="G9" s="157" t="n"/>
      <c r="H9" s="895">
        <f>IF($B9="","",SUM(C9:F9))</f>
        <v/>
      </c>
      <c r="J9" s="189" t="inlineStr">
        <is>
          <t>แล้วกด Ctrl + P</t>
        </is>
      </c>
    </row>
    <row r="10" ht="20" customHeight="1">
      <c r="A10" s="157" t="n">
        <v>4</v>
      </c>
      <c r="B10" s="242">
        <f>'ข้อมูลนักเรียน'!T12</f>
        <v/>
      </c>
      <c r="C10" s="146">
        <f>IF(OR($B10="",R1=0),"",R1)</f>
        <v/>
      </c>
      <c r="D10" s="146">
        <f>IF(OR($B10="",R2=0),"",R2)</f>
        <v/>
      </c>
      <c r="E10" s="146">
        <f>IF(OR($B10="",R3=0),"",R3)</f>
        <v/>
      </c>
      <c r="F10" s="146">
        <f>IF(OR($B10="",R4=0),"",R4)</f>
        <v/>
      </c>
      <c r="G10" s="157" t="n"/>
      <c r="H10" s="895">
        <f>IF($B10="","",SUM(C10:F10))</f>
        <v/>
      </c>
    </row>
    <row r="11" ht="20" customHeight="1">
      <c r="A11" s="157" t="n">
        <v>5</v>
      </c>
      <c r="B11" s="242">
        <f>'ข้อมูลนักเรียน'!T13</f>
        <v/>
      </c>
      <c r="C11" s="146">
        <f>IF(OR($B11="",R1=0),"",R1)</f>
        <v/>
      </c>
      <c r="D11" s="146">
        <f>IF(OR($B11="",R2=0),"",R2)</f>
        <v/>
      </c>
      <c r="E11" s="146">
        <f>IF(OR($B11="",R3=0),"",R3)</f>
        <v/>
      </c>
      <c r="F11" s="146">
        <f>IF(OR($B11="",R4=0),"",R4)</f>
        <v/>
      </c>
      <c r="G11" s="157" t="n"/>
      <c r="H11" s="895">
        <f>IF($B11="","",SUM(C11:F11))</f>
        <v/>
      </c>
      <c r="J11" s="896" t="inlineStr">
        <is>
          <t>🏠 กลับหน้าหลัก</t>
        </is>
      </c>
    </row>
    <row r="12">
      <c r="A12" s="897" t="inlineStr">
        <is>
          <t>รวมทั้งสิ้น</t>
        </is>
      </c>
      <c r="C12" s="886">
        <f>SUM(C7:C11)</f>
        <v/>
      </c>
      <c r="D12" s="886">
        <f>SUM(D7:D11)</f>
        <v/>
      </c>
      <c r="E12" s="886">
        <f>SUM(E7:E11)</f>
        <v/>
      </c>
      <c r="F12" s="886">
        <f>SUM(F7:F11)</f>
        <v/>
      </c>
      <c r="G12" s="887">
        <f>IF(H12=0,"","("&amp;H12&amp;" บาท)")</f>
        <v/>
      </c>
      <c r="H12" s="886">
        <f>SUM(H7:H11)</f>
        <v/>
      </c>
    </row>
    <row r="13"/>
    <row r="14">
      <c r="A14" s="246">
        <f>"ขอรับรองว่าได้จ่ายเงินให้ผู้ปกครองนักเรียนตามรายชื่อข้างต้น จำนวน "&amp;COUNTIF(H7:H11,"&gt;0")&amp;" คน รวมเป็นเงิน "&amp;TEXT(H12,"#,##0")&amp;" บาท"</f>
        <v/>
      </c>
    </row>
    <row r="15"/>
    <row r="16">
      <c r="B16" s="246" t="inlineStr">
        <is>
          <t>ลงชื่อ ........................................................</t>
        </is>
      </c>
      <c r="F16" s="246" t="inlineStr">
        <is>
          <t>ลงชื่อ ........................................................</t>
        </is>
      </c>
    </row>
    <row r="17">
      <c r="B17" s="246">
        <f>"( "&amp;IF('ข้อมูลโรงเรียน'!$C$9="","..................................................",'ข้อมูลโรงเรียน'!$C$9)&amp;" )"</f>
        <v/>
      </c>
      <c r="F17" s="246">
        <f>"( "&amp;IF('ข้อมูลโรงเรียน'!$C$11="","..................................................",'ข้อมูลโรงเรียน'!$C$11)&amp;" )"</f>
        <v/>
      </c>
    </row>
    <row r="18">
      <c r="B18" s="277" t="inlineStr">
        <is>
          <t>ผู้จ่ายเงิน (ครูประจำชั้น)</t>
        </is>
      </c>
      <c r="F18" s="277" t="inlineStr">
        <is>
          <t>ผู้บริหารสถานศึกษา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8">
    <mergeCell ref="A5:A6"/>
    <mergeCell ref="G5:G6"/>
    <mergeCell ref="A3:H3"/>
    <mergeCell ref="H5:H6"/>
    <mergeCell ref="A2:H2"/>
    <mergeCell ref="A1:H1"/>
    <mergeCell ref="B5:B6"/>
    <mergeCell ref="A12:B12"/>
  </mergeCells>
  <dataValidations count="1">
    <dataValidation sqref="K3" showDropDown="0" showInputMessage="0" showErrorMessage="0" allowBlank="1" errorTitle="ตรวจสอบข้อมูล" error="ข้อมูลไม่ถูกต้อง กรุณาเลือกจากรายการ" type="list">
      <formula1>"1,2"</formula1>
    </dataValidation>
  </dataValidations>
  <hyperlinks>
    <hyperlink ref="J11" location="'หน้าหลัก'!A1" display="🏠 กลับหน้าหลัก"/>
  </hyperlinks>
  <pageMargins left="0.35" right="0.35" top="0.45" bottom="0.45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tabColor rgb="00768CE6"/>
    <outlinePr summaryBelow="1" summaryRight="1"/>
    <pageSetUpPr fitToPage="1"/>
  </sheetPr>
  <dimension ref="A1:L205"/>
  <sheetViews>
    <sheetView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32" customWidth="1" min="3" max="3"/>
    <col width="18" customWidth="1" min="4" max="4"/>
    <col width="12" customWidth="1" min="5" max="5"/>
    <col width="12" customWidth="1" min="6" max="6"/>
    <col width="13" customWidth="1" min="7" max="7"/>
    <col width="18" customWidth="1" min="8" max="8"/>
    <col width="3" customWidth="1" min="9" max="9"/>
    <col width="22" customWidth="1" min="10" max="10"/>
    <col width="13" customWidth="1" min="11" max="11"/>
    <col width="13" customWidth="1" min="12" max="12"/>
  </cols>
  <sheetData>
    <row r="1" ht="48" customHeight="1">
      <c r="A1" s="898" t="inlineStr">
        <is>
          <t>🏠</t>
        </is>
      </c>
      <c r="B1" s="899" t="n"/>
      <c r="C1" s="899" t="n"/>
      <c r="D1" s="899" t="n"/>
      <c r="E1" s="899" t="n"/>
      <c r="F1" s="899" t="n"/>
      <c r="G1" s="899" t="n"/>
      <c r="H1" s="899" t="n"/>
      <c r="I1" s="899" t="n"/>
      <c r="J1" s="899" t="n"/>
      <c r="K1" s="899" t="n"/>
      <c r="L1" s="899" t="n"/>
    </row>
    <row r="2" ht="20" customHeight="1">
      <c r="A2" s="900" t="inlineStr">
        <is>
          <t>หน้าหลัก</t>
        </is>
      </c>
      <c r="B2" s="901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902" t="n"/>
      <c r="D2" s="902" t="n"/>
      <c r="E2" s="902" t="n"/>
      <c r="F2" s="902" t="n"/>
      <c r="G2" s="902" t="n"/>
      <c r="H2" s="902" t="n"/>
      <c r="I2" s="902" t="n"/>
      <c r="J2" s="902" t="n"/>
      <c r="K2" s="902" t="n"/>
      <c r="L2" s="902" t="n"/>
    </row>
    <row r="3">
      <c r="B3" s="903" t="inlineStr">
        <is>
          <t>ยอดยกมา (บาท)</t>
        </is>
      </c>
      <c r="C3" s="904" t="n">
        <v>0</v>
      </c>
    </row>
    <row r="4">
      <c r="J4" s="905" t="inlineStr">
        <is>
          <t>สรุปรายเดือน</t>
        </is>
      </c>
    </row>
    <row r="5">
      <c r="A5" s="906" t="inlineStr">
        <is>
          <t>วันที่</t>
        </is>
      </c>
      <c r="B5" s="906" t="inlineStr">
        <is>
          <t>เดือน</t>
        </is>
      </c>
      <c r="C5" s="906" t="inlineStr">
        <is>
          <t>รายการ</t>
        </is>
      </c>
      <c r="D5" s="906" t="inlineStr">
        <is>
          <t>หมวด</t>
        </is>
      </c>
      <c r="E5" s="906" t="inlineStr">
        <is>
          <t>รายรับ</t>
        </is>
      </c>
      <c r="F5" s="906" t="inlineStr">
        <is>
          <t>รายจ่าย</t>
        </is>
      </c>
      <c r="G5" s="906" t="inlineStr">
        <is>
          <t>คงเหลือ</t>
        </is>
      </c>
      <c r="H5" s="906" t="inlineStr">
        <is>
          <t>เลขที่ใบเสร็จ / หมายเหตุ</t>
        </is>
      </c>
      <c r="J5" s="906" t="inlineStr">
        <is>
          <t>เดือน</t>
        </is>
      </c>
      <c r="K5" s="906" t="inlineStr">
        <is>
          <t>รายรับ</t>
        </is>
      </c>
      <c r="L5" s="906" t="inlineStr">
        <is>
          <t>รายจ่าย</t>
        </is>
      </c>
    </row>
    <row r="6">
      <c r="A6" s="193" t="n"/>
      <c r="B6" s="193" t="n"/>
      <c r="C6" s="192" t="n"/>
      <c r="D6" s="192" t="n"/>
      <c r="E6" s="907" t="n"/>
      <c r="F6" s="907" t="n"/>
      <c r="G6" s="908">
        <f>IF(AND(E6="",F6=""),"",N($C$3)+SUM(E$6:E6)-SUM(F$6:F6))</f>
        <v/>
      </c>
      <c r="H6" s="192" t="n"/>
      <c r="J6" s="909" t="inlineStr">
        <is>
          <t>พฤษภาคม</t>
        </is>
      </c>
      <c r="K6" s="910">
        <f>SUMIF($B$6:$B$205,J6,$E$6:$E$205)</f>
        <v/>
      </c>
      <c r="L6" s="910">
        <f>SUMIF($B$6:$B$205,J6,$F$6:$F$205)</f>
        <v/>
      </c>
    </row>
    <row r="7">
      <c r="A7" s="193" t="n"/>
      <c r="B7" s="193" t="n"/>
      <c r="C7" s="192" t="n"/>
      <c r="D7" s="192" t="n"/>
      <c r="E7" s="907" t="n"/>
      <c r="F7" s="907" t="n"/>
      <c r="G7" s="908">
        <f>IF(AND(E7="",F7=""),"",N($C$3)+SUM(E$6:E7)-SUM(F$6:F7))</f>
        <v/>
      </c>
      <c r="H7" s="192" t="n"/>
      <c r="J7" s="909" t="inlineStr">
        <is>
          <t>มิถุนายน</t>
        </is>
      </c>
      <c r="K7" s="910">
        <f>SUMIF($B$6:$B$205,J7,$E$6:$E$205)</f>
        <v/>
      </c>
      <c r="L7" s="910">
        <f>SUMIF($B$6:$B$205,J7,$F$6:$F$205)</f>
        <v/>
      </c>
    </row>
    <row r="8">
      <c r="A8" s="193" t="n"/>
      <c r="B8" s="193" t="n"/>
      <c r="C8" s="192" t="n"/>
      <c r="D8" s="192" t="n"/>
      <c r="E8" s="907" t="n"/>
      <c r="F8" s="907" t="n"/>
      <c r="G8" s="908">
        <f>IF(AND(E8="",F8=""),"",N($C$3)+SUM(E$6:E8)-SUM(F$6:F8))</f>
        <v/>
      </c>
      <c r="H8" s="192" t="n"/>
      <c r="J8" s="909" t="inlineStr">
        <is>
          <t>กรกฎาคม</t>
        </is>
      </c>
      <c r="K8" s="910">
        <f>SUMIF($B$6:$B$205,J8,$E$6:$E$205)</f>
        <v/>
      </c>
      <c r="L8" s="910">
        <f>SUMIF($B$6:$B$205,J8,$F$6:$F$205)</f>
        <v/>
      </c>
    </row>
    <row r="9">
      <c r="A9" s="193" t="n"/>
      <c r="B9" s="193" t="n"/>
      <c r="C9" s="192" t="n"/>
      <c r="D9" s="192" t="n"/>
      <c r="E9" s="907" t="n"/>
      <c r="F9" s="907" t="n"/>
      <c r="G9" s="908">
        <f>IF(AND(E9="",F9=""),"",N($C$3)+SUM(E$6:E9)-SUM(F$6:F9))</f>
        <v/>
      </c>
      <c r="H9" s="192" t="n"/>
      <c r="J9" s="909" t="inlineStr">
        <is>
          <t>สิงหาคม</t>
        </is>
      </c>
      <c r="K9" s="910">
        <f>SUMIF($B$6:$B$205,J9,$E$6:$E$205)</f>
        <v/>
      </c>
      <c r="L9" s="910">
        <f>SUMIF($B$6:$B$205,J9,$F$6:$F$205)</f>
        <v/>
      </c>
    </row>
    <row r="10">
      <c r="A10" s="193" t="n"/>
      <c r="B10" s="193" t="n"/>
      <c r="C10" s="192" t="n"/>
      <c r="D10" s="192" t="n"/>
      <c r="E10" s="907" t="n"/>
      <c r="F10" s="907" t="n"/>
      <c r="G10" s="908">
        <f>IF(AND(E10="",F10=""),"",N($C$3)+SUM(E$6:E10)-SUM(F$6:F10))</f>
        <v/>
      </c>
      <c r="H10" s="192" t="n"/>
      <c r="J10" s="909" t="inlineStr">
        <is>
          <t>กันยายน</t>
        </is>
      </c>
      <c r="K10" s="910">
        <f>SUMIF($B$6:$B$205,J10,$E$6:$E$205)</f>
        <v/>
      </c>
      <c r="L10" s="910">
        <f>SUMIF($B$6:$B$205,J10,$F$6:$F$205)</f>
        <v/>
      </c>
    </row>
    <row r="11">
      <c r="A11" s="193" t="n"/>
      <c r="B11" s="193" t="n"/>
      <c r="C11" s="192" t="n"/>
      <c r="D11" s="192" t="n"/>
      <c r="E11" s="907" t="n"/>
      <c r="F11" s="907" t="n"/>
      <c r="G11" s="908">
        <f>IF(AND(E11="",F11=""),"",N($C$3)+SUM(E$6:E11)-SUM(F$6:F11))</f>
        <v/>
      </c>
      <c r="H11" s="192" t="n"/>
      <c r="J11" s="909" t="inlineStr">
        <is>
          <t>ตุลาคม</t>
        </is>
      </c>
      <c r="K11" s="910">
        <f>SUMIF($B$6:$B$205,J11,$E$6:$E$205)</f>
        <v/>
      </c>
      <c r="L11" s="910">
        <f>SUMIF($B$6:$B$205,J11,$F$6:$F$205)</f>
        <v/>
      </c>
    </row>
    <row r="12">
      <c r="A12" s="193" t="n"/>
      <c r="B12" s="193" t="n"/>
      <c r="C12" s="192" t="n"/>
      <c r="D12" s="192" t="n"/>
      <c r="E12" s="907" t="n"/>
      <c r="F12" s="907" t="n"/>
      <c r="G12" s="908">
        <f>IF(AND(E12="",F12=""),"",N($C$3)+SUM(E$6:E12)-SUM(F$6:F12))</f>
        <v/>
      </c>
      <c r="H12" s="192" t="n"/>
      <c r="J12" s="909" t="inlineStr">
        <is>
          <t>พฤศจิกายน</t>
        </is>
      </c>
      <c r="K12" s="910">
        <f>SUMIF($B$6:$B$205,J12,$E$6:$E$205)</f>
        <v/>
      </c>
      <c r="L12" s="910">
        <f>SUMIF($B$6:$B$205,J12,$F$6:$F$205)</f>
        <v/>
      </c>
    </row>
    <row r="13">
      <c r="A13" s="193" t="n"/>
      <c r="B13" s="193" t="n"/>
      <c r="C13" s="192" t="n"/>
      <c r="D13" s="192" t="n"/>
      <c r="E13" s="907" t="n"/>
      <c r="F13" s="907" t="n"/>
      <c r="G13" s="908">
        <f>IF(AND(E13="",F13=""),"",N($C$3)+SUM(E$6:E13)-SUM(F$6:F13))</f>
        <v/>
      </c>
      <c r="H13" s="192" t="n"/>
      <c r="J13" s="909" t="inlineStr">
        <is>
          <t>ธันวาคม</t>
        </is>
      </c>
      <c r="K13" s="910">
        <f>SUMIF($B$6:$B$205,J13,$E$6:$E$205)</f>
        <v/>
      </c>
      <c r="L13" s="910">
        <f>SUMIF($B$6:$B$205,J13,$F$6:$F$205)</f>
        <v/>
      </c>
    </row>
    <row r="14">
      <c r="A14" s="193" t="n"/>
      <c r="B14" s="193" t="n"/>
      <c r="C14" s="192" t="n"/>
      <c r="D14" s="192" t="n"/>
      <c r="E14" s="907" t="n"/>
      <c r="F14" s="907" t="n"/>
      <c r="G14" s="908">
        <f>IF(AND(E14="",F14=""),"",N($C$3)+SUM(E$6:E14)-SUM(F$6:F14))</f>
        <v/>
      </c>
      <c r="H14" s="192" t="n"/>
      <c r="J14" s="909" t="inlineStr">
        <is>
          <t>มกราคม</t>
        </is>
      </c>
      <c r="K14" s="910">
        <f>SUMIF($B$6:$B$205,J14,$E$6:$E$205)</f>
        <v/>
      </c>
      <c r="L14" s="910">
        <f>SUMIF($B$6:$B$205,J14,$F$6:$F$205)</f>
        <v/>
      </c>
    </row>
    <row r="15">
      <c r="A15" s="193" t="n"/>
      <c r="B15" s="193" t="n"/>
      <c r="C15" s="192" t="n"/>
      <c r="D15" s="192" t="n"/>
      <c r="E15" s="907" t="n"/>
      <c r="F15" s="907" t="n"/>
      <c r="G15" s="908">
        <f>IF(AND(E15="",F15=""),"",N($C$3)+SUM(E$6:E15)-SUM(F$6:F15))</f>
        <v/>
      </c>
      <c r="H15" s="192" t="n"/>
      <c r="J15" s="909" t="inlineStr">
        <is>
          <t>กุมภาพันธ์</t>
        </is>
      </c>
      <c r="K15" s="910">
        <f>SUMIF($B$6:$B$205,J15,$E$6:$E$205)</f>
        <v/>
      </c>
      <c r="L15" s="910">
        <f>SUMIF($B$6:$B$205,J15,$F$6:$F$205)</f>
        <v/>
      </c>
    </row>
    <row r="16">
      <c r="A16" s="193" t="n"/>
      <c r="B16" s="193" t="n"/>
      <c r="C16" s="192" t="n"/>
      <c r="D16" s="192" t="n"/>
      <c r="E16" s="907" t="n"/>
      <c r="F16" s="907" t="n"/>
      <c r="G16" s="908">
        <f>IF(AND(E16="",F16=""),"",N($C$3)+SUM(E$6:E16)-SUM(F$6:F16))</f>
        <v/>
      </c>
      <c r="H16" s="192" t="n"/>
      <c r="J16" s="909" t="inlineStr">
        <is>
          <t>มีนาคม</t>
        </is>
      </c>
      <c r="K16" s="910">
        <f>SUMIF($B$6:$B$205,J16,$E$6:$E$205)</f>
        <v/>
      </c>
      <c r="L16" s="910">
        <f>SUMIF($B$6:$B$205,J16,$F$6:$F$205)</f>
        <v/>
      </c>
    </row>
    <row r="17">
      <c r="A17" s="193" t="n"/>
      <c r="B17" s="193" t="n"/>
      <c r="C17" s="192" t="n"/>
      <c r="D17" s="192" t="n"/>
      <c r="E17" s="907" t="n"/>
      <c r="F17" s="907" t="n"/>
      <c r="G17" s="908">
        <f>IF(AND(E17="",F17=""),"",N($C$3)+SUM(E$6:E17)-SUM(F$6:F17))</f>
        <v/>
      </c>
      <c r="H17" s="192" t="n"/>
      <c r="J17" s="909" t="inlineStr">
        <is>
          <t>เมษายน</t>
        </is>
      </c>
      <c r="K17" s="910">
        <f>SUMIF($B$6:$B$205,J17,$E$6:$E$205)</f>
        <v/>
      </c>
      <c r="L17" s="910">
        <f>SUMIF($B$6:$B$205,J17,$F$6:$F$205)</f>
        <v/>
      </c>
    </row>
    <row r="18">
      <c r="A18" s="193" t="n"/>
      <c r="B18" s="193" t="n"/>
      <c r="C18" s="192" t="n"/>
      <c r="D18" s="192" t="n"/>
      <c r="E18" s="907" t="n"/>
      <c r="F18" s="907" t="n"/>
      <c r="G18" s="908">
        <f>IF(AND(E18="",F18=""),"",N($C$3)+SUM(E$6:E18)-SUM(F$6:F18))</f>
        <v/>
      </c>
      <c r="H18" s="192" t="n"/>
      <c r="J18" s="911" t="inlineStr">
        <is>
          <t>รวม</t>
        </is>
      </c>
      <c r="K18" s="912">
        <f>SUM(K6:K17)</f>
        <v/>
      </c>
      <c r="L18" s="912">
        <f>SUM(L6:L17)</f>
        <v/>
      </c>
    </row>
    <row r="19">
      <c r="A19" s="193" t="n"/>
      <c r="B19" s="193" t="n"/>
      <c r="C19" s="192" t="n"/>
      <c r="D19" s="192" t="n"/>
      <c r="E19" s="907" t="n"/>
      <c r="F19" s="907" t="n"/>
      <c r="G19" s="908">
        <f>IF(AND(E19="",F19=""),"",N($C$3)+SUM(E$6:E19)-SUM(F$6:F19))</f>
        <v/>
      </c>
      <c r="H19" s="192" t="n"/>
      <c r="J19" s="913" t="inlineStr">
        <is>
          <t>คงเหลือ</t>
        </is>
      </c>
      <c r="K19" s="914">
        <f>N($C$3)+K18-L18</f>
        <v/>
      </c>
    </row>
    <row r="20">
      <c r="A20" s="193" t="n"/>
      <c r="B20" s="193" t="n"/>
      <c r="C20" s="192" t="n"/>
      <c r="D20" s="192" t="n"/>
      <c r="E20" s="907" t="n"/>
      <c r="F20" s="907" t="n"/>
      <c r="G20" s="908">
        <f>IF(AND(E20="",F20=""),"",N($C$3)+SUM(E$6:E20)-SUM(F$6:F20))</f>
        <v/>
      </c>
      <c r="H20" s="192" t="n"/>
    </row>
    <row r="21">
      <c r="A21" s="193" t="n"/>
      <c r="B21" s="193" t="n"/>
      <c r="C21" s="192" t="n"/>
      <c r="D21" s="192" t="n"/>
      <c r="E21" s="907" t="n"/>
      <c r="F21" s="907" t="n"/>
      <c r="G21" s="908">
        <f>IF(AND(E21="",F21=""),"",N($C$3)+SUM(E$6:E21)-SUM(F$6:F21))</f>
        <v/>
      </c>
      <c r="H21" s="192" t="n"/>
      <c r="J21" s="905" t="inlineStr">
        <is>
          <t>สรุปตามหมวด</t>
        </is>
      </c>
    </row>
    <row r="22">
      <c r="A22" s="193" t="n"/>
      <c r="B22" s="193" t="n"/>
      <c r="C22" s="192" t="n"/>
      <c r="D22" s="192" t="n"/>
      <c r="E22" s="907" t="n"/>
      <c r="F22" s="907" t="n"/>
      <c r="G22" s="908">
        <f>IF(AND(E22="",F22=""),"",N($C$3)+SUM(E$6:E22)-SUM(F$6:F22))</f>
        <v/>
      </c>
      <c r="H22" s="192" t="n"/>
      <c r="J22" s="906" t="inlineStr">
        <is>
          <t>หมวด</t>
        </is>
      </c>
      <c r="K22" s="906" t="inlineStr">
        <is>
          <t>รายรับ</t>
        </is>
      </c>
      <c r="L22" s="906" t="inlineStr">
        <is>
          <t>รายจ่าย</t>
        </is>
      </c>
    </row>
    <row r="23">
      <c r="A23" s="193" t="n"/>
      <c r="B23" s="193" t="n"/>
      <c r="C23" s="192" t="n"/>
      <c r="D23" s="192" t="n"/>
      <c r="E23" s="907" t="n"/>
      <c r="F23" s="907" t="n"/>
      <c r="G23" s="908">
        <f>IF(AND(E23="",F23=""),"",N($C$3)+SUM(E$6:E23)-SUM(F$6:F23))</f>
        <v/>
      </c>
      <c r="H23" s="192" t="n"/>
      <c r="J23" s="915" t="inlineStr">
        <is>
          <t>เงินบริจาค / ผู้ปกครองสมทบ</t>
        </is>
      </c>
      <c r="K23" s="910">
        <f>SUMIF($D$6:$D$205,J23,$E$6:$E$205)</f>
        <v/>
      </c>
      <c r="L23" s="910">
        <f>SUMIF($D$6:$D$205,J23,$F$6:$F$205)</f>
        <v/>
      </c>
    </row>
    <row r="24">
      <c r="A24" s="193" t="n"/>
      <c r="B24" s="193" t="n"/>
      <c r="C24" s="192" t="n"/>
      <c r="D24" s="192" t="n"/>
      <c r="E24" s="907" t="n"/>
      <c r="F24" s="907" t="n"/>
      <c r="G24" s="908">
        <f>IF(AND(E24="",F24=""),"",N($C$3)+SUM(E$6:E24)-SUM(F$6:F24))</f>
        <v/>
      </c>
      <c r="H24" s="192" t="n"/>
      <c r="J24" s="915" t="inlineStr">
        <is>
          <t>ค่ากิจกรรม</t>
        </is>
      </c>
      <c r="K24" s="910">
        <f>SUMIF($D$6:$D$205,J24,$E$6:$E$205)</f>
        <v/>
      </c>
      <c r="L24" s="910">
        <f>SUMIF($D$6:$D$205,J24,$F$6:$F$205)</f>
        <v/>
      </c>
    </row>
    <row r="25">
      <c r="A25" s="193" t="n"/>
      <c r="B25" s="193" t="n"/>
      <c r="C25" s="192" t="n"/>
      <c r="D25" s="192" t="n"/>
      <c r="E25" s="907" t="n"/>
      <c r="F25" s="907" t="n"/>
      <c r="G25" s="908">
        <f>IF(AND(E25="",F25=""),"",N($C$3)+SUM(E$6:E25)-SUM(F$6:F25))</f>
        <v/>
      </c>
      <c r="H25" s="192" t="n"/>
      <c r="J25" s="915" t="inlineStr">
        <is>
          <t>เงินโรงเรียนจัดสรร</t>
        </is>
      </c>
      <c r="K25" s="910">
        <f>SUMIF($D$6:$D$205,J25,$E$6:$E$205)</f>
        <v/>
      </c>
      <c r="L25" s="910">
        <f>SUMIF($D$6:$D$205,J25,$F$6:$F$205)</f>
        <v/>
      </c>
    </row>
    <row r="26">
      <c r="A26" s="193" t="n"/>
      <c r="B26" s="193" t="n"/>
      <c r="C26" s="192" t="n"/>
      <c r="D26" s="192" t="n"/>
      <c r="E26" s="907" t="n"/>
      <c r="F26" s="907" t="n"/>
      <c r="G26" s="908">
        <f>IF(AND(E26="",F26=""),"",N($C$3)+SUM(E$6:E26)-SUM(F$6:F26))</f>
        <v/>
      </c>
      <c r="H26" s="192" t="n"/>
      <c r="J26" s="915" t="inlineStr">
        <is>
          <t>ค่าวัสดุอุปกรณ์</t>
        </is>
      </c>
      <c r="K26" s="910">
        <f>SUMIF($D$6:$D$205,J26,$E$6:$E$205)</f>
        <v/>
      </c>
      <c r="L26" s="910">
        <f>SUMIF($D$6:$D$205,J26,$F$6:$F$205)</f>
        <v/>
      </c>
    </row>
    <row r="27">
      <c r="A27" s="193" t="n"/>
      <c r="B27" s="193" t="n"/>
      <c r="C27" s="192" t="n"/>
      <c r="D27" s="192" t="n"/>
      <c r="E27" s="907" t="n"/>
      <c r="F27" s="907" t="n"/>
      <c r="G27" s="908">
        <f>IF(AND(E27="",F27=""),"",N($C$3)+SUM(E$6:E27)-SUM(F$6:F27))</f>
        <v/>
      </c>
      <c r="H27" s="192" t="n"/>
      <c r="J27" s="915" t="inlineStr">
        <is>
          <t>ค่าอาหาร / ขนม</t>
        </is>
      </c>
      <c r="K27" s="910">
        <f>SUMIF($D$6:$D$205,J27,$E$6:$E$205)</f>
        <v/>
      </c>
      <c r="L27" s="910">
        <f>SUMIF($D$6:$D$205,J27,$F$6:$F$205)</f>
        <v/>
      </c>
    </row>
    <row r="28">
      <c r="A28" s="193" t="n"/>
      <c r="B28" s="193" t="n"/>
      <c r="C28" s="192" t="n"/>
      <c r="D28" s="192" t="n"/>
      <c r="E28" s="907" t="n"/>
      <c r="F28" s="907" t="n"/>
      <c r="G28" s="908">
        <f>IF(AND(E28="",F28=""),"",N($C$3)+SUM(E$6:E28)-SUM(F$6:F28))</f>
        <v/>
      </c>
      <c r="H28" s="192" t="n"/>
      <c r="J28" s="915" t="inlineStr">
        <is>
          <t>ค่าตกแต่งห้องเรียน</t>
        </is>
      </c>
      <c r="K28" s="910">
        <f>SUMIF($D$6:$D$205,J28,$E$6:$E$205)</f>
        <v/>
      </c>
      <c r="L28" s="910">
        <f>SUMIF($D$6:$D$205,J28,$F$6:$F$205)</f>
        <v/>
      </c>
    </row>
    <row r="29">
      <c r="A29" s="193" t="n"/>
      <c r="B29" s="193" t="n"/>
      <c r="C29" s="192" t="n"/>
      <c r="D29" s="192" t="n"/>
      <c r="E29" s="907" t="n"/>
      <c r="F29" s="907" t="n"/>
      <c r="G29" s="908">
        <f>IF(AND(E29="",F29=""),"",N($C$3)+SUM(E$6:E29)-SUM(F$6:F29))</f>
        <v/>
      </c>
      <c r="H29" s="192" t="n"/>
      <c r="J29" s="915" t="inlineStr">
        <is>
          <t>ค่าทัศนศึกษา</t>
        </is>
      </c>
      <c r="K29" s="910">
        <f>SUMIF($D$6:$D$205,J29,$E$6:$E$205)</f>
        <v/>
      </c>
      <c r="L29" s="910">
        <f>SUMIF($D$6:$D$205,J29,$F$6:$F$205)</f>
        <v/>
      </c>
    </row>
    <row r="30">
      <c r="A30" s="193" t="n"/>
      <c r="B30" s="193" t="n"/>
      <c r="C30" s="192" t="n"/>
      <c r="D30" s="192" t="n"/>
      <c r="E30" s="907" t="n"/>
      <c r="F30" s="907" t="n"/>
      <c r="G30" s="908">
        <f>IF(AND(E30="",F30=""),"",N($C$3)+SUM(E$6:E30)-SUM(F$6:F30))</f>
        <v/>
      </c>
      <c r="H30" s="192" t="n"/>
      <c r="J30" s="915" t="inlineStr">
        <is>
          <t>อื่น ๆ</t>
        </is>
      </c>
      <c r="K30" s="910">
        <f>SUMIF($D$6:$D$205,J30,$E$6:$E$205)</f>
        <v/>
      </c>
      <c r="L30" s="910">
        <f>SUMIF($D$6:$D$205,J30,$F$6:$F$205)</f>
        <v/>
      </c>
    </row>
    <row r="31">
      <c r="A31" s="193" t="n"/>
      <c r="B31" s="193" t="n"/>
      <c r="C31" s="192" t="n"/>
      <c r="D31" s="192" t="n"/>
      <c r="E31" s="907" t="n"/>
      <c r="F31" s="907" t="n"/>
      <c r="G31" s="908">
        <f>IF(AND(E31="",F31=""),"",N($C$3)+SUM(E$6:E31)-SUM(F$6:F31))</f>
        <v/>
      </c>
      <c r="H31" s="192" t="n"/>
    </row>
    <row r="32">
      <c r="A32" s="193" t="n"/>
      <c r="B32" s="193" t="n"/>
      <c r="C32" s="192" t="n"/>
      <c r="D32" s="192" t="n"/>
      <c r="E32" s="907" t="n"/>
      <c r="F32" s="907" t="n"/>
      <c r="G32" s="908">
        <f>IF(AND(E32="",F32=""),"",N($C$3)+SUM(E$6:E32)-SUM(F$6:F32))</f>
        <v/>
      </c>
      <c r="H32" s="192" t="n"/>
    </row>
    <row r="33">
      <c r="A33" s="193" t="n"/>
      <c r="B33" s="193" t="n"/>
      <c r="C33" s="192" t="n"/>
      <c r="D33" s="192" t="n"/>
      <c r="E33" s="907" t="n"/>
      <c r="F33" s="907" t="n"/>
      <c r="G33" s="908">
        <f>IF(AND(E33="",F33=""),"",N($C$3)+SUM(E$6:E33)-SUM(F$6:F33))</f>
        <v/>
      </c>
      <c r="H33" s="192" t="n"/>
    </row>
    <row r="34">
      <c r="A34" s="193" t="n"/>
      <c r="B34" s="193" t="n"/>
      <c r="C34" s="192" t="n"/>
      <c r="D34" s="192" t="n"/>
      <c r="E34" s="907" t="n"/>
      <c r="F34" s="907" t="n"/>
      <c r="G34" s="908">
        <f>IF(AND(E34="",F34=""),"",N($C$3)+SUM(E$6:E34)-SUM(F$6:F34))</f>
        <v/>
      </c>
      <c r="H34" s="192" t="n"/>
    </row>
    <row r="35">
      <c r="A35" s="193" t="n"/>
      <c r="B35" s="193" t="n"/>
      <c r="C35" s="192" t="n"/>
      <c r="D35" s="192" t="n"/>
      <c r="E35" s="907" t="n"/>
      <c r="F35" s="907" t="n"/>
      <c r="G35" s="908">
        <f>IF(AND(E35="",F35=""),"",N($C$3)+SUM(E$6:E35)-SUM(F$6:F35))</f>
        <v/>
      </c>
      <c r="H35" s="192" t="n"/>
    </row>
    <row r="36">
      <c r="A36" s="193" t="n"/>
      <c r="B36" s="193" t="n"/>
      <c r="C36" s="192" t="n"/>
      <c r="D36" s="192" t="n"/>
      <c r="E36" s="907" t="n"/>
      <c r="F36" s="907" t="n"/>
      <c r="G36" s="908">
        <f>IF(AND(E36="",F36=""),"",N($C$3)+SUM(E$6:E36)-SUM(F$6:F36))</f>
        <v/>
      </c>
      <c r="H36" s="192" t="n"/>
    </row>
    <row r="37">
      <c r="A37" s="193" t="n"/>
      <c r="B37" s="193" t="n"/>
      <c r="C37" s="192" t="n"/>
      <c r="D37" s="192" t="n"/>
      <c r="E37" s="907" t="n"/>
      <c r="F37" s="907" t="n"/>
      <c r="G37" s="908">
        <f>IF(AND(E37="",F37=""),"",N($C$3)+SUM(E$6:E37)-SUM(F$6:F37))</f>
        <v/>
      </c>
      <c r="H37" s="192" t="n"/>
    </row>
    <row r="38">
      <c r="A38" s="193" t="n"/>
      <c r="B38" s="193" t="n"/>
      <c r="C38" s="192" t="n"/>
      <c r="D38" s="192" t="n"/>
      <c r="E38" s="907" t="n"/>
      <c r="F38" s="907" t="n"/>
      <c r="G38" s="908">
        <f>IF(AND(E38="",F38=""),"",N($C$3)+SUM(E$6:E38)-SUM(F$6:F38))</f>
        <v/>
      </c>
      <c r="H38" s="192" t="n"/>
    </row>
    <row r="39">
      <c r="A39" s="193" t="n"/>
      <c r="B39" s="193" t="n"/>
      <c r="C39" s="192" t="n"/>
      <c r="D39" s="192" t="n"/>
      <c r="E39" s="907" t="n"/>
      <c r="F39" s="907" t="n"/>
      <c r="G39" s="908">
        <f>IF(AND(E39="",F39=""),"",N($C$3)+SUM(E$6:E39)-SUM(F$6:F39))</f>
        <v/>
      </c>
      <c r="H39" s="192" t="n"/>
    </row>
    <row r="40">
      <c r="A40" s="193" t="n"/>
      <c r="B40" s="193" t="n"/>
      <c r="C40" s="192" t="n"/>
      <c r="D40" s="192" t="n"/>
      <c r="E40" s="907" t="n"/>
      <c r="F40" s="907" t="n"/>
      <c r="G40" s="908">
        <f>IF(AND(E40="",F40=""),"",N($C$3)+SUM(E$6:E40)-SUM(F$6:F40))</f>
        <v/>
      </c>
      <c r="H40" s="192" t="n"/>
    </row>
    <row r="41">
      <c r="A41" s="193" t="n"/>
      <c r="B41" s="193" t="n"/>
      <c r="C41" s="192" t="n"/>
      <c r="D41" s="192" t="n"/>
      <c r="E41" s="907" t="n"/>
      <c r="F41" s="907" t="n"/>
      <c r="G41" s="908">
        <f>IF(AND(E41="",F41=""),"",N($C$3)+SUM(E$6:E41)-SUM(F$6:F41))</f>
        <v/>
      </c>
      <c r="H41" s="192" t="n"/>
    </row>
    <row r="42">
      <c r="A42" s="193" t="n"/>
      <c r="B42" s="193" t="n"/>
      <c r="C42" s="192" t="n"/>
      <c r="D42" s="192" t="n"/>
      <c r="E42" s="907" t="n"/>
      <c r="F42" s="907" t="n"/>
      <c r="G42" s="908">
        <f>IF(AND(E42="",F42=""),"",N($C$3)+SUM(E$6:E42)-SUM(F$6:F42))</f>
        <v/>
      </c>
      <c r="H42" s="192" t="n"/>
    </row>
    <row r="43">
      <c r="A43" s="193" t="n"/>
      <c r="B43" s="193" t="n"/>
      <c r="C43" s="192" t="n"/>
      <c r="D43" s="192" t="n"/>
      <c r="E43" s="907" t="n"/>
      <c r="F43" s="907" t="n"/>
      <c r="G43" s="908">
        <f>IF(AND(E43="",F43=""),"",N($C$3)+SUM(E$6:E43)-SUM(F$6:F43))</f>
        <v/>
      </c>
      <c r="H43" s="192" t="n"/>
    </row>
    <row r="44">
      <c r="A44" s="193" t="n"/>
      <c r="B44" s="193" t="n"/>
      <c r="C44" s="192" t="n"/>
      <c r="D44" s="192" t="n"/>
      <c r="E44" s="907" t="n"/>
      <c r="F44" s="907" t="n"/>
      <c r="G44" s="908">
        <f>IF(AND(E44="",F44=""),"",N($C$3)+SUM(E$6:E44)-SUM(F$6:F44))</f>
        <v/>
      </c>
      <c r="H44" s="192" t="n"/>
    </row>
    <row r="45">
      <c r="A45" s="193" t="n"/>
      <c r="B45" s="193" t="n"/>
      <c r="C45" s="192" t="n"/>
      <c r="D45" s="192" t="n"/>
      <c r="E45" s="907" t="n"/>
      <c r="F45" s="907" t="n"/>
      <c r="G45" s="908">
        <f>IF(AND(E45="",F45=""),"",N($C$3)+SUM(E$6:E45)-SUM(F$6:F45))</f>
        <v/>
      </c>
      <c r="H45" s="192" t="n"/>
    </row>
    <row r="46">
      <c r="A46" s="193" t="n"/>
      <c r="B46" s="193" t="n"/>
      <c r="C46" s="192" t="n"/>
      <c r="D46" s="192" t="n"/>
      <c r="E46" s="907" t="n"/>
      <c r="F46" s="907" t="n"/>
      <c r="G46" s="908">
        <f>IF(AND(E46="",F46=""),"",N($C$3)+SUM(E$6:E46)-SUM(F$6:F46))</f>
        <v/>
      </c>
      <c r="H46" s="192" t="n"/>
    </row>
    <row r="47">
      <c r="A47" s="193" t="n"/>
      <c r="B47" s="193" t="n"/>
      <c r="C47" s="192" t="n"/>
      <c r="D47" s="192" t="n"/>
      <c r="E47" s="907" t="n"/>
      <c r="F47" s="907" t="n"/>
      <c r="G47" s="908">
        <f>IF(AND(E47="",F47=""),"",N($C$3)+SUM(E$6:E47)-SUM(F$6:F47))</f>
        <v/>
      </c>
      <c r="H47" s="192" t="n"/>
    </row>
    <row r="48">
      <c r="A48" s="193" t="n"/>
      <c r="B48" s="193" t="n"/>
      <c r="C48" s="192" t="n"/>
      <c r="D48" s="192" t="n"/>
      <c r="E48" s="907" t="n"/>
      <c r="F48" s="907" t="n"/>
      <c r="G48" s="908">
        <f>IF(AND(E48="",F48=""),"",N($C$3)+SUM(E$6:E48)-SUM(F$6:F48))</f>
        <v/>
      </c>
      <c r="H48" s="192" t="n"/>
    </row>
    <row r="49">
      <c r="A49" s="193" t="n"/>
      <c r="B49" s="193" t="n"/>
      <c r="C49" s="192" t="n"/>
      <c r="D49" s="192" t="n"/>
      <c r="E49" s="907" t="n"/>
      <c r="F49" s="907" t="n"/>
      <c r="G49" s="908">
        <f>IF(AND(E49="",F49=""),"",N($C$3)+SUM(E$6:E49)-SUM(F$6:F49))</f>
        <v/>
      </c>
      <c r="H49" s="192" t="n"/>
    </row>
    <row r="50">
      <c r="A50" s="193" t="n"/>
      <c r="B50" s="193" t="n"/>
      <c r="C50" s="192" t="n"/>
      <c r="D50" s="192" t="n"/>
      <c r="E50" s="907" t="n"/>
      <c r="F50" s="907" t="n"/>
      <c r="G50" s="908">
        <f>IF(AND(E50="",F50=""),"",N($C$3)+SUM(E$6:E50)-SUM(F$6:F50))</f>
        <v/>
      </c>
      <c r="H50" s="192" t="n"/>
    </row>
    <row r="51">
      <c r="A51" s="193" t="n"/>
      <c r="B51" s="193" t="n"/>
      <c r="C51" s="192" t="n"/>
      <c r="D51" s="192" t="n"/>
      <c r="E51" s="907" t="n"/>
      <c r="F51" s="907" t="n"/>
      <c r="G51" s="908">
        <f>IF(AND(E51="",F51=""),"",N($C$3)+SUM(E$6:E51)-SUM(F$6:F51))</f>
        <v/>
      </c>
      <c r="H51" s="192" t="n"/>
    </row>
    <row r="52">
      <c r="A52" s="193" t="n"/>
      <c r="B52" s="193" t="n"/>
      <c r="C52" s="192" t="n"/>
      <c r="D52" s="192" t="n"/>
      <c r="E52" s="907" t="n"/>
      <c r="F52" s="907" t="n"/>
      <c r="G52" s="908">
        <f>IF(AND(E52="",F52=""),"",N($C$3)+SUM(E$6:E52)-SUM(F$6:F52))</f>
        <v/>
      </c>
      <c r="H52" s="192" t="n"/>
    </row>
    <row r="53">
      <c r="A53" s="193" t="n"/>
      <c r="B53" s="193" t="n"/>
      <c r="C53" s="192" t="n"/>
      <c r="D53" s="192" t="n"/>
      <c r="E53" s="907" t="n"/>
      <c r="F53" s="907" t="n"/>
      <c r="G53" s="908">
        <f>IF(AND(E53="",F53=""),"",N($C$3)+SUM(E$6:E53)-SUM(F$6:F53))</f>
        <v/>
      </c>
      <c r="H53" s="192" t="n"/>
    </row>
    <row r="54">
      <c r="A54" s="193" t="n"/>
      <c r="B54" s="193" t="n"/>
      <c r="C54" s="192" t="n"/>
      <c r="D54" s="192" t="n"/>
      <c r="E54" s="907" t="n"/>
      <c r="F54" s="907" t="n"/>
      <c r="G54" s="908">
        <f>IF(AND(E54="",F54=""),"",N($C$3)+SUM(E$6:E54)-SUM(F$6:F54))</f>
        <v/>
      </c>
      <c r="H54" s="192" t="n"/>
    </row>
    <row r="55">
      <c r="A55" s="193" t="n"/>
      <c r="B55" s="193" t="n"/>
      <c r="C55" s="192" t="n"/>
      <c r="D55" s="192" t="n"/>
      <c r="E55" s="907" t="n"/>
      <c r="F55" s="907" t="n"/>
      <c r="G55" s="908">
        <f>IF(AND(E55="",F55=""),"",N($C$3)+SUM(E$6:E55)-SUM(F$6:F55))</f>
        <v/>
      </c>
      <c r="H55" s="192" t="n"/>
    </row>
    <row r="56">
      <c r="A56" s="193" t="n"/>
      <c r="B56" s="193" t="n"/>
      <c r="C56" s="192" t="n"/>
      <c r="D56" s="192" t="n"/>
      <c r="E56" s="907" t="n"/>
      <c r="F56" s="907" t="n"/>
      <c r="G56" s="908">
        <f>IF(AND(E56="",F56=""),"",N($C$3)+SUM(E$6:E56)-SUM(F$6:F56))</f>
        <v/>
      </c>
      <c r="H56" s="192" t="n"/>
    </row>
    <row r="57">
      <c r="A57" s="193" t="n"/>
      <c r="B57" s="193" t="n"/>
      <c r="C57" s="192" t="n"/>
      <c r="D57" s="192" t="n"/>
      <c r="E57" s="907" t="n"/>
      <c r="F57" s="907" t="n"/>
      <c r="G57" s="908">
        <f>IF(AND(E57="",F57=""),"",N($C$3)+SUM(E$6:E57)-SUM(F$6:F57))</f>
        <v/>
      </c>
      <c r="H57" s="192" t="n"/>
    </row>
    <row r="58">
      <c r="A58" s="193" t="n"/>
      <c r="B58" s="193" t="n"/>
      <c r="C58" s="192" t="n"/>
      <c r="D58" s="192" t="n"/>
      <c r="E58" s="907" t="n"/>
      <c r="F58" s="907" t="n"/>
      <c r="G58" s="908">
        <f>IF(AND(E58="",F58=""),"",N($C$3)+SUM(E$6:E58)-SUM(F$6:F58))</f>
        <v/>
      </c>
      <c r="H58" s="192" t="n"/>
    </row>
    <row r="59">
      <c r="A59" s="193" t="n"/>
      <c r="B59" s="193" t="n"/>
      <c r="C59" s="192" t="n"/>
      <c r="D59" s="192" t="n"/>
      <c r="E59" s="907" t="n"/>
      <c r="F59" s="907" t="n"/>
      <c r="G59" s="908">
        <f>IF(AND(E59="",F59=""),"",N($C$3)+SUM(E$6:E59)-SUM(F$6:F59))</f>
        <v/>
      </c>
      <c r="H59" s="192" t="n"/>
    </row>
    <row r="60">
      <c r="A60" s="193" t="n"/>
      <c r="B60" s="193" t="n"/>
      <c r="C60" s="192" t="n"/>
      <c r="D60" s="192" t="n"/>
      <c r="E60" s="907" t="n"/>
      <c r="F60" s="907" t="n"/>
      <c r="G60" s="908">
        <f>IF(AND(E60="",F60=""),"",N($C$3)+SUM(E$6:E60)-SUM(F$6:F60))</f>
        <v/>
      </c>
      <c r="H60" s="192" t="n"/>
    </row>
    <row r="61">
      <c r="A61" s="193" t="n"/>
      <c r="B61" s="193" t="n"/>
      <c r="C61" s="192" t="n"/>
      <c r="D61" s="192" t="n"/>
      <c r="E61" s="907" t="n"/>
      <c r="F61" s="907" t="n"/>
      <c r="G61" s="908">
        <f>IF(AND(E61="",F61=""),"",N($C$3)+SUM(E$6:E61)-SUM(F$6:F61))</f>
        <v/>
      </c>
      <c r="H61" s="192" t="n"/>
    </row>
    <row r="62">
      <c r="A62" s="193" t="n"/>
      <c r="B62" s="193" t="n"/>
      <c r="C62" s="192" t="n"/>
      <c r="D62" s="192" t="n"/>
      <c r="E62" s="907" t="n"/>
      <c r="F62" s="907" t="n"/>
      <c r="G62" s="908">
        <f>IF(AND(E62="",F62=""),"",N($C$3)+SUM(E$6:E62)-SUM(F$6:F62))</f>
        <v/>
      </c>
      <c r="H62" s="192" t="n"/>
    </row>
    <row r="63">
      <c r="A63" s="193" t="n"/>
      <c r="B63" s="193" t="n"/>
      <c r="C63" s="192" t="n"/>
      <c r="D63" s="192" t="n"/>
      <c r="E63" s="907" t="n"/>
      <c r="F63" s="907" t="n"/>
      <c r="G63" s="908">
        <f>IF(AND(E63="",F63=""),"",N($C$3)+SUM(E$6:E63)-SUM(F$6:F63))</f>
        <v/>
      </c>
      <c r="H63" s="192" t="n"/>
    </row>
    <row r="64">
      <c r="A64" s="193" t="n"/>
      <c r="B64" s="193" t="n"/>
      <c r="C64" s="192" t="n"/>
      <c r="D64" s="192" t="n"/>
      <c r="E64" s="907" t="n"/>
      <c r="F64" s="907" t="n"/>
      <c r="G64" s="908">
        <f>IF(AND(E64="",F64=""),"",N($C$3)+SUM(E$6:E64)-SUM(F$6:F64))</f>
        <v/>
      </c>
      <c r="H64" s="192" t="n"/>
    </row>
    <row r="65">
      <c r="A65" s="193" t="n"/>
      <c r="B65" s="193" t="n"/>
      <c r="C65" s="192" t="n"/>
      <c r="D65" s="192" t="n"/>
      <c r="E65" s="907" t="n"/>
      <c r="F65" s="907" t="n"/>
      <c r="G65" s="908">
        <f>IF(AND(E65="",F65=""),"",N($C$3)+SUM(E$6:E65)-SUM(F$6:F65))</f>
        <v/>
      </c>
      <c r="H65" s="192" t="n"/>
    </row>
    <row r="66">
      <c r="A66" s="193" t="n"/>
      <c r="B66" s="193" t="n"/>
      <c r="C66" s="192" t="n"/>
      <c r="D66" s="192" t="n"/>
      <c r="E66" s="907" t="n"/>
      <c r="F66" s="907" t="n"/>
      <c r="G66" s="908">
        <f>IF(AND(E66="",F66=""),"",N($C$3)+SUM(E$6:E66)-SUM(F$6:F66))</f>
        <v/>
      </c>
      <c r="H66" s="192" t="n"/>
    </row>
    <row r="67">
      <c r="A67" s="193" t="n"/>
      <c r="B67" s="193" t="n"/>
      <c r="C67" s="192" t="n"/>
      <c r="D67" s="192" t="n"/>
      <c r="E67" s="907" t="n"/>
      <c r="F67" s="907" t="n"/>
      <c r="G67" s="908">
        <f>IF(AND(E67="",F67=""),"",N($C$3)+SUM(E$6:E67)-SUM(F$6:F67))</f>
        <v/>
      </c>
      <c r="H67" s="192" t="n"/>
    </row>
    <row r="68">
      <c r="A68" s="193" t="n"/>
      <c r="B68" s="193" t="n"/>
      <c r="C68" s="192" t="n"/>
      <c r="D68" s="192" t="n"/>
      <c r="E68" s="907" t="n"/>
      <c r="F68" s="907" t="n"/>
      <c r="G68" s="908">
        <f>IF(AND(E68="",F68=""),"",N($C$3)+SUM(E$6:E68)-SUM(F$6:F68))</f>
        <v/>
      </c>
      <c r="H68" s="192" t="n"/>
    </row>
    <row r="69">
      <c r="A69" s="193" t="n"/>
      <c r="B69" s="193" t="n"/>
      <c r="C69" s="192" t="n"/>
      <c r="D69" s="192" t="n"/>
      <c r="E69" s="907" t="n"/>
      <c r="F69" s="907" t="n"/>
      <c r="G69" s="908">
        <f>IF(AND(E69="",F69=""),"",N($C$3)+SUM(E$6:E69)-SUM(F$6:F69))</f>
        <v/>
      </c>
      <c r="H69" s="192" t="n"/>
    </row>
    <row r="70">
      <c r="A70" s="193" t="n"/>
      <c r="B70" s="193" t="n"/>
      <c r="C70" s="192" t="n"/>
      <c r="D70" s="192" t="n"/>
      <c r="E70" s="907" t="n"/>
      <c r="F70" s="907" t="n"/>
      <c r="G70" s="908">
        <f>IF(AND(E70="",F70=""),"",N($C$3)+SUM(E$6:E70)-SUM(F$6:F70))</f>
        <v/>
      </c>
      <c r="H70" s="192" t="n"/>
    </row>
    <row r="71">
      <c r="A71" s="193" t="n"/>
      <c r="B71" s="193" t="n"/>
      <c r="C71" s="192" t="n"/>
      <c r="D71" s="192" t="n"/>
      <c r="E71" s="907" t="n"/>
      <c r="F71" s="907" t="n"/>
      <c r="G71" s="908">
        <f>IF(AND(E71="",F71=""),"",N($C$3)+SUM(E$6:E71)-SUM(F$6:F71))</f>
        <v/>
      </c>
      <c r="H71" s="192" t="n"/>
    </row>
    <row r="72">
      <c r="A72" s="193" t="n"/>
      <c r="B72" s="193" t="n"/>
      <c r="C72" s="192" t="n"/>
      <c r="D72" s="192" t="n"/>
      <c r="E72" s="907" t="n"/>
      <c r="F72" s="907" t="n"/>
      <c r="G72" s="908">
        <f>IF(AND(E72="",F72=""),"",N($C$3)+SUM(E$6:E72)-SUM(F$6:F72))</f>
        <v/>
      </c>
      <c r="H72" s="192" t="n"/>
    </row>
    <row r="73">
      <c r="A73" s="193" t="n"/>
      <c r="B73" s="193" t="n"/>
      <c r="C73" s="192" t="n"/>
      <c r="D73" s="192" t="n"/>
      <c r="E73" s="907" t="n"/>
      <c r="F73" s="907" t="n"/>
      <c r="G73" s="908">
        <f>IF(AND(E73="",F73=""),"",N($C$3)+SUM(E$6:E73)-SUM(F$6:F73))</f>
        <v/>
      </c>
      <c r="H73" s="192" t="n"/>
    </row>
    <row r="74">
      <c r="A74" s="193" t="n"/>
      <c r="B74" s="193" t="n"/>
      <c r="C74" s="192" t="n"/>
      <c r="D74" s="192" t="n"/>
      <c r="E74" s="907" t="n"/>
      <c r="F74" s="907" t="n"/>
      <c r="G74" s="908">
        <f>IF(AND(E74="",F74=""),"",N($C$3)+SUM(E$6:E74)-SUM(F$6:F74))</f>
        <v/>
      </c>
      <c r="H74" s="192" t="n"/>
    </row>
    <row r="75">
      <c r="A75" s="193" t="n"/>
      <c r="B75" s="193" t="n"/>
      <c r="C75" s="192" t="n"/>
      <c r="D75" s="192" t="n"/>
      <c r="E75" s="907" t="n"/>
      <c r="F75" s="907" t="n"/>
      <c r="G75" s="908">
        <f>IF(AND(E75="",F75=""),"",N($C$3)+SUM(E$6:E75)-SUM(F$6:F75))</f>
        <v/>
      </c>
      <c r="H75" s="192" t="n"/>
    </row>
    <row r="76">
      <c r="A76" s="193" t="n"/>
      <c r="B76" s="193" t="n"/>
      <c r="C76" s="192" t="n"/>
      <c r="D76" s="192" t="n"/>
      <c r="E76" s="907" t="n"/>
      <c r="F76" s="907" t="n"/>
      <c r="G76" s="908">
        <f>IF(AND(E76="",F76=""),"",N($C$3)+SUM(E$6:E76)-SUM(F$6:F76))</f>
        <v/>
      </c>
      <c r="H76" s="192" t="n"/>
    </row>
    <row r="77">
      <c r="A77" s="193" t="n"/>
      <c r="B77" s="193" t="n"/>
      <c r="C77" s="192" t="n"/>
      <c r="D77" s="192" t="n"/>
      <c r="E77" s="907" t="n"/>
      <c r="F77" s="907" t="n"/>
      <c r="G77" s="908">
        <f>IF(AND(E77="",F77=""),"",N($C$3)+SUM(E$6:E77)-SUM(F$6:F77))</f>
        <v/>
      </c>
      <c r="H77" s="192" t="n"/>
    </row>
    <row r="78">
      <c r="A78" s="193" t="n"/>
      <c r="B78" s="193" t="n"/>
      <c r="C78" s="192" t="n"/>
      <c r="D78" s="192" t="n"/>
      <c r="E78" s="907" t="n"/>
      <c r="F78" s="907" t="n"/>
      <c r="G78" s="908">
        <f>IF(AND(E78="",F78=""),"",N($C$3)+SUM(E$6:E78)-SUM(F$6:F78))</f>
        <v/>
      </c>
      <c r="H78" s="192" t="n"/>
    </row>
    <row r="79">
      <c r="A79" s="193" t="n"/>
      <c r="B79" s="193" t="n"/>
      <c r="C79" s="192" t="n"/>
      <c r="D79" s="192" t="n"/>
      <c r="E79" s="907" t="n"/>
      <c r="F79" s="907" t="n"/>
      <c r="G79" s="908">
        <f>IF(AND(E79="",F79=""),"",N($C$3)+SUM(E$6:E79)-SUM(F$6:F79))</f>
        <v/>
      </c>
      <c r="H79" s="192" t="n"/>
    </row>
    <row r="80">
      <c r="A80" s="193" t="n"/>
      <c r="B80" s="193" t="n"/>
      <c r="C80" s="192" t="n"/>
      <c r="D80" s="192" t="n"/>
      <c r="E80" s="907" t="n"/>
      <c r="F80" s="907" t="n"/>
      <c r="G80" s="908">
        <f>IF(AND(E80="",F80=""),"",N($C$3)+SUM(E$6:E80)-SUM(F$6:F80))</f>
        <v/>
      </c>
      <c r="H80" s="192" t="n"/>
    </row>
    <row r="81">
      <c r="A81" s="193" t="n"/>
      <c r="B81" s="193" t="n"/>
      <c r="C81" s="192" t="n"/>
      <c r="D81" s="192" t="n"/>
      <c r="E81" s="907" t="n"/>
      <c r="F81" s="907" t="n"/>
      <c r="G81" s="908">
        <f>IF(AND(E81="",F81=""),"",N($C$3)+SUM(E$6:E81)-SUM(F$6:F81))</f>
        <v/>
      </c>
      <c r="H81" s="192" t="n"/>
    </row>
    <row r="82">
      <c r="A82" s="193" t="n"/>
      <c r="B82" s="193" t="n"/>
      <c r="C82" s="192" t="n"/>
      <c r="D82" s="192" t="n"/>
      <c r="E82" s="907" t="n"/>
      <c r="F82" s="907" t="n"/>
      <c r="G82" s="908">
        <f>IF(AND(E82="",F82=""),"",N($C$3)+SUM(E$6:E82)-SUM(F$6:F82))</f>
        <v/>
      </c>
      <c r="H82" s="192" t="n"/>
    </row>
    <row r="83">
      <c r="A83" s="193" t="n"/>
      <c r="B83" s="193" t="n"/>
      <c r="C83" s="192" t="n"/>
      <c r="D83" s="192" t="n"/>
      <c r="E83" s="907" t="n"/>
      <c r="F83" s="907" t="n"/>
      <c r="G83" s="908">
        <f>IF(AND(E83="",F83=""),"",N($C$3)+SUM(E$6:E83)-SUM(F$6:F83))</f>
        <v/>
      </c>
      <c r="H83" s="192" t="n"/>
    </row>
    <row r="84">
      <c r="A84" s="193" t="n"/>
      <c r="B84" s="193" t="n"/>
      <c r="C84" s="192" t="n"/>
      <c r="D84" s="192" t="n"/>
      <c r="E84" s="907" t="n"/>
      <c r="F84" s="907" t="n"/>
      <c r="G84" s="908">
        <f>IF(AND(E84="",F84=""),"",N($C$3)+SUM(E$6:E84)-SUM(F$6:F84))</f>
        <v/>
      </c>
      <c r="H84" s="192" t="n"/>
    </row>
    <row r="85">
      <c r="A85" s="193" t="n"/>
      <c r="B85" s="193" t="n"/>
      <c r="C85" s="192" t="n"/>
      <c r="D85" s="192" t="n"/>
      <c r="E85" s="907" t="n"/>
      <c r="F85" s="907" t="n"/>
      <c r="G85" s="908">
        <f>IF(AND(E85="",F85=""),"",N($C$3)+SUM(E$6:E85)-SUM(F$6:F85))</f>
        <v/>
      </c>
      <c r="H85" s="192" t="n"/>
    </row>
    <row r="86">
      <c r="A86" s="193" t="n"/>
      <c r="B86" s="193" t="n"/>
      <c r="C86" s="192" t="n"/>
      <c r="D86" s="192" t="n"/>
      <c r="E86" s="907" t="n"/>
      <c r="F86" s="907" t="n"/>
      <c r="G86" s="908">
        <f>IF(AND(E86="",F86=""),"",N($C$3)+SUM(E$6:E86)-SUM(F$6:F86))</f>
        <v/>
      </c>
      <c r="H86" s="192" t="n"/>
    </row>
    <row r="87">
      <c r="A87" s="193" t="n"/>
      <c r="B87" s="193" t="n"/>
      <c r="C87" s="192" t="n"/>
      <c r="D87" s="192" t="n"/>
      <c r="E87" s="907" t="n"/>
      <c r="F87" s="907" t="n"/>
      <c r="G87" s="908">
        <f>IF(AND(E87="",F87=""),"",N($C$3)+SUM(E$6:E87)-SUM(F$6:F87))</f>
        <v/>
      </c>
      <c r="H87" s="192" t="n"/>
    </row>
    <row r="88">
      <c r="A88" s="193" t="n"/>
      <c r="B88" s="193" t="n"/>
      <c r="C88" s="192" t="n"/>
      <c r="D88" s="192" t="n"/>
      <c r="E88" s="907" t="n"/>
      <c r="F88" s="907" t="n"/>
      <c r="G88" s="908">
        <f>IF(AND(E88="",F88=""),"",N($C$3)+SUM(E$6:E88)-SUM(F$6:F88))</f>
        <v/>
      </c>
      <c r="H88" s="192" t="n"/>
    </row>
    <row r="89">
      <c r="A89" s="193" t="n"/>
      <c r="B89" s="193" t="n"/>
      <c r="C89" s="192" t="n"/>
      <c r="D89" s="192" t="n"/>
      <c r="E89" s="907" t="n"/>
      <c r="F89" s="907" t="n"/>
      <c r="G89" s="908">
        <f>IF(AND(E89="",F89=""),"",N($C$3)+SUM(E$6:E89)-SUM(F$6:F89))</f>
        <v/>
      </c>
      <c r="H89" s="192" t="n"/>
    </row>
    <row r="90">
      <c r="A90" s="193" t="n"/>
      <c r="B90" s="193" t="n"/>
      <c r="C90" s="192" t="n"/>
      <c r="D90" s="192" t="n"/>
      <c r="E90" s="907" t="n"/>
      <c r="F90" s="907" t="n"/>
      <c r="G90" s="908">
        <f>IF(AND(E90="",F90=""),"",N($C$3)+SUM(E$6:E90)-SUM(F$6:F90))</f>
        <v/>
      </c>
      <c r="H90" s="192" t="n"/>
    </row>
    <row r="91">
      <c r="A91" s="193" t="n"/>
      <c r="B91" s="193" t="n"/>
      <c r="C91" s="192" t="n"/>
      <c r="D91" s="192" t="n"/>
      <c r="E91" s="907" t="n"/>
      <c r="F91" s="907" t="n"/>
      <c r="G91" s="908">
        <f>IF(AND(E91="",F91=""),"",N($C$3)+SUM(E$6:E91)-SUM(F$6:F91))</f>
        <v/>
      </c>
      <c r="H91" s="192" t="n"/>
    </row>
    <row r="92">
      <c r="A92" s="193" t="n"/>
      <c r="B92" s="193" t="n"/>
      <c r="C92" s="192" t="n"/>
      <c r="D92" s="192" t="n"/>
      <c r="E92" s="907" t="n"/>
      <c r="F92" s="907" t="n"/>
      <c r="G92" s="908">
        <f>IF(AND(E92="",F92=""),"",N($C$3)+SUM(E$6:E92)-SUM(F$6:F92))</f>
        <v/>
      </c>
      <c r="H92" s="192" t="n"/>
    </row>
    <row r="93">
      <c r="A93" s="193" t="n"/>
      <c r="B93" s="193" t="n"/>
      <c r="C93" s="192" t="n"/>
      <c r="D93" s="192" t="n"/>
      <c r="E93" s="907" t="n"/>
      <c r="F93" s="907" t="n"/>
      <c r="G93" s="908">
        <f>IF(AND(E93="",F93=""),"",N($C$3)+SUM(E$6:E93)-SUM(F$6:F93))</f>
        <v/>
      </c>
      <c r="H93" s="192" t="n"/>
    </row>
    <row r="94">
      <c r="A94" s="193" t="n"/>
      <c r="B94" s="193" t="n"/>
      <c r="C94" s="192" t="n"/>
      <c r="D94" s="192" t="n"/>
      <c r="E94" s="907" t="n"/>
      <c r="F94" s="907" t="n"/>
      <c r="G94" s="908">
        <f>IF(AND(E94="",F94=""),"",N($C$3)+SUM(E$6:E94)-SUM(F$6:F94))</f>
        <v/>
      </c>
      <c r="H94" s="192" t="n"/>
    </row>
    <row r="95">
      <c r="A95" s="193" t="n"/>
      <c r="B95" s="193" t="n"/>
      <c r="C95" s="192" t="n"/>
      <c r="D95" s="192" t="n"/>
      <c r="E95" s="907" t="n"/>
      <c r="F95" s="907" t="n"/>
      <c r="G95" s="908">
        <f>IF(AND(E95="",F95=""),"",N($C$3)+SUM(E$6:E95)-SUM(F$6:F95))</f>
        <v/>
      </c>
      <c r="H95" s="192" t="n"/>
    </row>
    <row r="96">
      <c r="A96" s="193" t="n"/>
      <c r="B96" s="193" t="n"/>
      <c r="C96" s="192" t="n"/>
      <c r="D96" s="192" t="n"/>
      <c r="E96" s="907" t="n"/>
      <c r="F96" s="907" t="n"/>
      <c r="G96" s="908">
        <f>IF(AND(E96="",F96=""),"",N($C$3)+SUM(E$6:E96)-SUM(F$6:F96))</f>
        <v/>
      </c>
      <c r="H96" s="192" t="n"/>
    </row>
    <row r="97">
      <c r="A97" s="193" t="n"/>
      <c r="B97" s="193" t="n"/>
      <c r="C97" s="192" t="n"/>
      <c r="D97" s="192" t="n"/>
      <c r="E97" s="907" t="n"/>
      <c r="F97" s="907" t="n"/>
      <c r="G97" s="908">
        <f>IF(AND(E97="",F97=""),"",N($C$3)+SUM(E$6:E97)-SUM(F$6:F97))</f>
        <v/>
      </c>
      <c r="H97" s="192" t="n"/>
    </row>
    <row r="98">
      <c r="A98" s="193" t="n"/>
      <c r="B98" s="193" t="n"/>
      <c r="C98" s="192" t="n"/>
      <c r="D98" s="192" t="n"/>
      <c r="E98" s="907" t="n"/>
      <c r="F98" s="907" t="n"/>
      <c r="G98" s="908">
        <f>IF(AND(E98="",F98=""),"",N($C$3)+SUM(E$6:E98)-SUM(F$6:F98))</f>
        <v/>
      </c>
      <c r="H98" s="192" t="n"/>
    </row>
    <row r="99">
      <c r="A99" s="193" t="n"/>
      <c r="B99" s="193" t="n"/>
      <c r="C99" s="192" t="n"/>
      <c r="D99" s="192" t="n"/>
      <c r="E99" s="907" t="n"/>
      <c r="F99" s="907" t="n"/>
      <c r="G99" s="908">
        <f>IF(AND(E99="",F99=""),"",N($C$3)+SUM(E$6:E99)-SUM(F$6:F99))</f>
        <v/>
      </c>
      <c r="H99" s="192" t="n"/>
    </row>
    <row r="100">
      <c r="A100" s="193" t="n"/>
      <c r="B100" s="193" t="n"/>
      <c r="C100" s="192" t="n"/>
      <c r="D100" s="192" t="n"/>
      <c r="E100" s="907" t="n"/>
      <c r="F100" s="907" t="n"/>
      <c r="G100" s="908">
        <f>IF(AND(E100="",F100=""),"",N($C$3)+SUM(E$6:E100)-SUM(F$6:F100))</f>
        <v/>
      </c>
      <c r="H100" s="192" t="n"/>
    </row>
    <row r="101">
      <c r="A101" s="193" t="n"/>
      <c r="B101" s="193" t="n"/>
      <c r="C101" s="192" t="n"/>
      <c r="D101" s="192" t="n"/>
      <c r="E101" s="907" t="n"/>
      <c r="F101" s="907" t="n"/>
      <c r="G101" s="908">
        <f>IF(AND(E101="",F101=""),"",N($C$3)+SUM(E$6:E101)-SUM(F$6:F101))</f>
        <v/>
      </c>
      <c r="H101" s="192" t="n"/>
    </row>
    <row r="102">
      <c r="A102" s="193" t="n"/>
      <c r="B102" s="193" t="n"/>
      <c r="C102" s="192" t="n"/>
      <c r="D102" s="192" t="n"/>
      <c r="E102" s="907" t="n"/>
      <c r="F102" s="907" t="n"/>
      <c r="G102" s="908">
        <f>IF(AND(E102="",F102=""),"",N($C$3)+SUM(E$6:E102)-SUM(F$6:F102))</f>
        <v/>
      </c>
      <c r="H102" s="192" t="n"/>
    </row>
    <row r="103">
      <c r="A103" s="193" t="n"/>
      <c r="B103" s="193" t="n"/>
      <c r="C103" s="192" t="n"/>
      <c r="D103" s="192" t="n"/>
      <c r="E103" s="907" t="n"/>
      <c r="F103" s="907" t="n"/>
      <c r="G103" s="908">
        <f>IF(AND(E103="",F103=""),"",N($C$3)+SUM(E$6:E103)-SUM(F$6:F103))</f>
        <v/>
      </c>
      <c r="H103" s="192" t="n"/>
    </row>
    <row r="104">
      <c r="A104" s="193" t="n"/>
      <c r="B104" s="193" t="n"/>
      <c r="C104" s="192" t="n"/>
      <c r="D104" s="192" t="n"/>
      <c r="E104" s="907" t="n"/>
      <c r="F104" s="907" t="n"/>
      <c r="G104" s="908">
        <f>IF(AND(E104="",F104=""),"",N($C$3)+SUM(E$6:E104)-SUM(F$6:F104))</f>
        <v/>
      </c>
      <c r="H104" s="192" t="n"/>
    </row>
    <row r="105">
      <c r="A105" s="193" t="n"/>
      <c r="B105" s="193" t="n"/>
      <c r="C105" s="192" t="n"/>
      <c r="D105" s="192" t="n"/>
      <c r="E105" s="907" t="n"/>
      <c r="F105" s="907" t="n"/>
      <c r="G105" s="908">
        <f>IF(AND(E105="",F105=""),"",N($C$3)+SUM(E$6:E105)-SUM(F$6:F105))</f>
        <v/>
      </c>
      <c r="H105" s="192" t="n"/>
    </row>
    <row r="106">
      <c r="A106" s="193" t="n"/>
      <c r="B106" s="193" t="n"/>
      <c r="C106" s="192" t="n"/>
      <c r="D106" s="192" t="n"/>
      <c r="E106" s="907" t="n"/>
      <c r="F106" s="907" t="n"/>
      <c r="G106" s="908">
        <f>IF(AND(E106="",F106=""),"",N($C$3)+SUM(E$6:E106)-SUM(F$6:F106))</f>
        <v/>
      </c>
      <c r="H106" s="192" t="n"/>
    </row>
    <row r="107">
      <c r="A107" s="193" t="n"/>
      <c r="B107" s="193" t="n"/>
      <c r="C107" s="192" t="n"/>
      <c r="D107" s="192" t="n"/>
      <c r="E107" s="907" t="n"/>
      <c r="F107" s="907" t="n"/>
      <c r="G107" s="908">
        <f>IF(AND(E107="",F107=""),"",N($C$3)+SUM(E$6:E107)-SUM(F$6:F107))</f>
        <v/>
      </c>
      <c r="H107" s="192" t="n"/>
    </row>
    <row r="108">
      <c r="A108" s="193" t="n"/>
      <c r="B108" s="193" t="n"/>
      <c r="C108" s="192" t="n"/>
      <c r="D108" s="192" t="n"/>
      <c r="E108" s="907" t="n"/>
      <c r="F108" s="907" t="n"/>
      <c r="G108" s="908">
        <f>IF(AND(E108="",F108=""),"",N($C$3)+SUM(E$6:E108)-SUM(F$6:F108))</f>
        <v/>
      </c>
      <c r="H108" s="192" t="n"/>
    </row>
    <row r="109">
      <c r="A109" s="193" t="n"/>
      <c r="B109" s="193" t="n"/>
      <c r="C109" s="192" t="n"/>
      <c r="D109" s="192" t="n"/>
      <c r="E109" s="907" t="n"/>
      <c r="F109" s="907" t="n"/>
      <c r="G109" s="908">
        <f>IF(AND(E109="",F109=""),"",N($C$3)+SUM(E$6:E109)-SUM(F$6:F109))</f>
        <v/>
      </c>
      <c r="H109" s="192" t="n"/>
    </row>
    <row r="110">
      <c r="A110" s="193" t="n"/>
      <c r="B110" s="193" t="n"/>
      <c r="C110" s="192" t="n"/>
      <c r="D110" s="192" t="n"/>
      <c r="E110" s="907" t="n"/>
      <c r="F110" s="907" t="n"/>
      <c r="G110" s="908">
        <f>IF(AND(E110="",F110=""),"",N($C$3)+SUM(E$6:E110)-SUM(F$6:F110))</f>
        <v/>
      </c>
      <c r="H110" s="192" t="n"/>
    </row>
    <row r="111">
      <c r="A111" s="193" t="n"/>
      <c r="B111" s="193" t="n"/>
      <c r="C111" s="192" t="n"/>
      <c r="D111" s="192" t="n"/>
      <c r="E111" s="907" t="n"/>
      <c r="F111" s="907" t="n"/>
      <c r="G111" s="908">
        <f>IF(AND(E111="",F111=""),"",N($C$3)+SUM(E$6:E111)-SUM(F$6:F111))</f>
        <v/>
      </c>
      <c r="H111" s="192" t="n"/>
    </row>
    <row r="112">
      <c r="A112" s="193" t="n"/>
      <c r="B112" s="193" t="n"/>
      <c r="C112" s="192" t="n"/>
      <c r="D112" s="192" t="n"/>
      <c r="E112" s="907" t="n"/>
      <c r="F112" s="907" t="n"/>
      <c r="G112" s="908">
        <f>IF(AND(E112="",F112=""),"",N($C$3)+SUM(E$6:E112)-SUM(F$6:F112))</f>
        <v/>
      </c>
      <c r="H112" s="192" t="n"/>
    </row>
    <row r="113">
      <c r="A113" s="193" t="n"/>
      <c r="B113" s="193" t="n"/>
      <c r="C113" s="192" t="n"/>
      <c r="D113" s="192" t="n"/>
      <c r="E113" s="907" t="n"/>
      <c r="F113" s="907" t="n"/>
      <c r="G113" s="908">
        <f>IF(AND(E113="",F113=""),"",N($C$3)+SUM(E$6:E113)-SUM(F$6:F113))</f>
        <v/>
      </c>
      <c r="H113" s="192" t="n"/>
    </row>
    <row r="114">
      <c r="A114" s="193" t="n"/>
      <c r="B114" s="193" t="n"/>
      <c r="C114" s="192" t="n"/>
      <c r="D114" s="192" t="n"/>
      <c r="E114" s="907" t="n"/>
      <c r="F114" s="907" t="n"/>
      <c r="G114" s="908">
        <f>IF(AND(E114="",F114=""),"",N($C$3)+SUM(E$6:E114)-SUM(F$6:F114))</f>
        <v/>
      </c>
      <c r="H114" s="192" t="n"/>
    </row>
    <row r="115">
      <c r="A115" s="193" t="n"/>
      <c r="B115" s="193" t="n"/>
      <c r="C115" s="192" t="n"/>
      <c r="D115" s="192" t="n"/>
      <c r="E115" s="907" t="n"/>
      <c r="F115" s="907" t="n"/>
      <c r="G115" s="908">
        <f>IF(AND(E115="",F115=""),"",N($C$3)+SUM(E$6:E115)-SUM(F$6:F115))</f>
        <v/>
      </c>
      <c r="H115" s="192" t="n"/>
    </row>
    <row r="116">
      <c r="A116" s="193" t="n"/>
      <c r="B116" s="193" t="n"/>
      <c r="C116" s="192" t="n"/>
      <c r="D116" s="192" t="n"/>
      <c r="E116" s="907" t="n"/>
      <c r="F116" s="907" t="n"/>
      <c r="G116" s="908">
        <f>IF(AND(E116="",F116=""),"",N($C$3)+SUM(E$6:E116)-SUM(F$6:F116))</f>
        <v/>
      </c>
      <c r="H116" s="192" t="n"/>
    </row>
    <row r="117">
      <c r="A117" s="193" t="n"/>
      <c r="B117" s="193" t="n"/>
      <c r="C117" s="192" t="n"/>
      <c r="D117" s="192" t="n"/>
      <c r="E117" s="907" t="n"/>
      <c r="F117" s="907" t="n"/>
      <c r="G117" s="908">
        <f>IF(AND(E117="",F117=""),"",N($C$3)+SUM(E$6:E117)-SUM(F$6:F117))</f>
        <v/>
      </c>
      <c r="H117" s="192" t="n"/>
    </row>
    <row r="118">
      <c r="A118" s="193" t="n"/>
      <c r="B118" s="193" t="n"/>
      <c r="C118" s="192" t="n"/>
      <c r="D118" s="192" t="n"/>
      <c r="E118" s="907" t="n"/>
      <c r="F118" s="907" t="n"/>
      <c r="G118" s="908">
        <f>IF(AND(E118="",F118=""),"",N($C$3)+SUM(E$6:E118)-SUM(F$6:F118))</f>
        <v/>
      </c>
      <c r="H118" s="192" t="n"/>
    </row>
    <row r="119">
      <c r="A119" s="193" t="n"/>
      <c r="B119" s="193" t="n"/>
      <c r="C119" s="192" t="n"/>
      <c r="D119" s="192" t="n"/>
      <c r="E119" s="907" t="n"/>
      <c r="F119" s="907" t="n"/>
      <c r="G119" s="908">
        <f>IF(AND(E119="",F119=""),"",N($C$3)+SUM(E$6:E119)-SUM(F$6:F119))</f>
        <v/>
      </c>
      <c r="H119" s="192" t="n"/>
    </row>
    <row r="120">
      <c r="A120" s="193" t="n"/>
      <c r="B120" s="193" t="n"/>
      <c r="C120" s="192" t="n"/>
      <c r="D120" s="192" t="n"/>
      <c r="E120" s="907" t="n"/>
      <c r="F120" s="907" t="n"/>
      <c r="G120" s="908">
        <f>IF(AND(E120="",F120=""),"",N($C$3)+SUM(E$6:E120)-SUM(F$6:F120))</f>
        <v/>
      </c>
      <c r="H120" s="192" t="n"/>
    </row>
    <row r="121">
      <c r="A121" s="193" t="n"/>
      <c r="B121" s="193" t="n"/>
      <c r="C121" s="192" t="n"/>
      <c r="D121" s="192" t="n"/>
      <c r="E121" s="907" t="n"/>
      <c r="F121" s="907" t="n"/>
      <c r="G121" s="908">
        <f>IF(AND(E121="",F121=""),"",N($C$3)+SUM(E$6:E121)-SUM(F$6:F121))</f>
        <v/>
      </c>
      <c r="H121" s="192" t="n"/>
    </row>
    <row r="122">
      <c r="A122" s="193" t="n"/>
      <c r="B122" s="193" t="n"/>
      <c r="C122" s="192" t="n"/>
      <c r="D122" s="192" t="n"/>
      <c r="E122" s="907" t="n"/>
      <c r="F122" s="907" t="n"/>
      <c r="G122" s="908">
        <f>IF(AND(E122="",F122=""),"",N($C$3)+SUM(E$6:E122)-SUM(F$6:F122))</f>
        <v/>
      </c>
      <c r="H122" s="192" t="n"/>
    </row>
    <row r="123">
      <c r="A123" s="193" t="n"/>
      <c r="B123" s="193" t="n"/>
      <c r="C123" s="192" t="n"/>
      <c r="D123" s="192" t="n"/>
      <c r="E123" s="907" t="n"/>
      <c r="F123" s="907" t="n"/>
      <c r="G123" s="908">
        <f>IF(AND(E123="",F123=""),"",N($C$3)+SUM(E$6:E123)-SUM(F$6:F123))</f>
        <v/>
      </c>
      <c r="H123" s="192" t="n"/>
    </row>
    <row r="124">
      <c r="A124" s="193" t="n"/>
      <c r="B124" s="193" t="n"/>
      <c r="C124" s="192" t="n"/>
      <c r="D124" s="192" t="n"/>
      <c r="E124" s="907" t="n"/>
      <c r="F124" s="907" t="n"/>
      <c r="G124" s="908">
        <f>IF(AND(E124="",F124=""),"",N($C$3)+SUM(E$6:E124)-SUM(F$6:F124))</f>
        <v/>
      </c>
      <c r="H124" s="192" t="n"/>
    </row>
    <row r="125">
      <c r="A125" s="193" t="n"/>
      <c r="B125" s="193" t="n"/>
      <c r="C125" s="192" t="n"/>
      <c r="D125" s="192" t="n"/>
      <c r="E125" s="907" t="n"/>
      <c r="F125" s="907" t="n"/>
      <c r="G125" s="908">
        <f>IF(AND(E125="",F125=""),"",N($C$3)+SUM(E$6:E125)-SUM(F$6:F125))</f>
        <v/>
      </c>
      <c r="H125" s="192" t="n"/>
    </row>
    <row r="126">
      <c r="A126" s="193" t="n"/>
      <c r="B126" s="193" t="n"/>
      <c r="C126" s="192" t="n"/>
      <c r="D126" s="192" t="n"/>
      <c r="E126" s="907" t="n"/>
      <c r="F126" s="907" t="n"/>
      <c r="G126" s="908">
        <f>IF(AND(E126="",F126=""),"",N($C$3)+SUM(E$6:E126)-SUM(F$6:F126))</f>
        <v/>
      </c>
      <c r="H126" s="192" t="n"/>
    </row>
    <row r="127">
      <c r="A127" s="193" t="n"/>
      <c r="B127" s="193" t="n"/>
      <c r="C127" s="192" t="n"/>
      <c r="D127" s="192" t="n"/>
      <c r="E127" s="907" t="n"/>
      <c r="F127" s="907" t="n"/>
      <c r="G127" s="908">
        <f>IF(AND(E127="",F127=""),"",N($C$3)+SUM(E$6:E127)-SUM(F$6:F127))</f>
        <v/>
      </c>
      <c r="H127" s="192" t="n"/>
    </row>
    <row r="128">
      <c r="A128" s="193" t="n"/>
      <c r="B128" s="193" t="n"/>
      <c r="C128" s="192" t="n"/>
      <c r="D128" s="192" t="n"/>
      <c r="E128" s="907" t="n"/>
      <c r="F128" s="907" t="n"/>
      <c r="G128" s="908">
        <f>IF(AND(E128="",F128=""),"",N($C$3)+SUM(E$6:E128)-SUM(F$6:F128))</f>
        <v/>
      </c>
      <c r="H128" s="192" t="n"/>
    </row>
    <row r="129">
      <c r="A129" s="193" t="n"/>
      <c r="B129" s="193" t="n"/>
      <c r="C129" s="192" t="n"/>
      <c r="D129" s="192" t="n"/>
      <c r="E129" s="907" t="n"/>
      <c r="F129" s="907" t="n"/>
      <c r="G129" s="908">
        <f>IF(AND(E129="",F129=""),"",N($C$3)+SUM(E$6:E129)-SUM(F$6:F129))</f>
        <v/>
      </c>
      <c r="H129" s="192" t="n"/>
    </row>
    <row r="130">
      <c r="A130" s="193" t="n"/>
      <c r="B130" s="193" t="n"/>
      <c r="C130" s="192" t="n"/>
      <c r="D130" s="192" t="n"/>
      <c r="E130" s="907" t="n"/>
      <c r="F130" s="907" t="n"/>
      <c r="G130" s="908">
        <f>IF(AND(E130="",F130=""),"",N($C$3)+SUM(E$6:E130)-SUM(F$6:F130))</f>
        <v/>
      </c>
      <c r="H130" s="192" t="n"/>
    </row>
    <row r="131">
      <c r="A131" s="193" t="n"/>
      <c r="B131" s="193" t="n"/>
      <c r="C131" s="192" t="n"/>
      <c r="D131" s="192" t="n"/>
      <c r="E131" s="907" t="n"/>
      <c r="F131" s="907" t="n"/>
      <c r="G131" s="908">
        <f>IF(AND(E131="",F131=""),"",N($C$3)+SUM(E$6:E131)-SUM(F$6:F131))</f>
        <v/>
      </c>
      <c r="H131" s="192" t="n"/>
    </row>
    <row r="132">
      <c r="A132" s="193" t="n"/>
      <c r="B132" s="193" t="n"/>
      <c r="C132" s="192" t="n"/>
      <c r="D132" s="192" t="n"/>
      <c r="E132" s="907" t="n"/>
      <c r="F132" s="907" t="n"/>
      <c r="G132" s="908">
        <f>IF(AND(E132="",F132=""),"",N($C$3)+SUM(E$6:E132)-SUM(F$6:F132))</f>
        <v/>
      </c>
      <c r="H132" s="192" t="n"/>
    </row>
    <row r="133">
      <c r="A133" s="193" t="n"/>
      <c r="B133" s="193" t="n"/>
      <c r="C133" s="192" t="n"/>
      <c r="D133" s="192" t="n"/>
      <c r="E133" s="907" t="n"/>
      <c r="F133" s="907" t="n"/>
      <c r="G133" s="908">
        <f>IF(AND(E133="",F133=""),"",N($C$3)+SUM(E$6:E133)-SUM(F$6:F133))</f>
        <v/>
      </c>
      <c r="H133" s="192" t="n"/>
    </row>
    <row r="134">
      <c r="A134" s="193" t="n"/>
      <c r="B134" s="193" t="n"/>
      <c r="C134" s="192" t="n"/>
      <c r="D134" s="192" t="n"/>
      <c r="E134" s="907" t="n"/>
      <c r="F134" s="907" t="n"/>
      <c r="G134" s="908">
        <f>IF(AND(E134="",F134=""),"",N($C$3)+SUM(E$6:E134)-SUM(F$6:F134))</f>
        <v/>
      </c>
      <c r="H134" s="192" t="n"/>
    </row>
    <row r="135">
      <c r="A135" s="193" t="n"/>
      <c r="B135" s="193" t="n"/>
      <c r="C135" s="192" t="n"/>
      <c r="D135" s="192" t="n"/>
      <c r="E135" s="907" t="n"/>
      <c r="F135" s="907" t="n"/>
      <c r="G135" s="908">
        <f>IF(AND(E135="",F135=""),"",N($C$3)+SUM(E$6:E135)-SUM(F$6:F135))</f>
        <v/>
      </c>
      <c r="H135" s="192" t="n"/>
    </row>
    <row r="136">
      <c r="A136" s="193" t="n"/>
      <c r="B136" s="193" t="n"/>
      <c r="C136" s="192" t="n"/>
      <c r="D136" s="192" t="n"/>
      <c r="E136" s="907" t="n"/>
      <c r="F136" s="907" t="n"/>
      <c r="G136" s="908">
        <f>IF(AND(E136="",F136=""),"",N($C$3)+SUM(E$6:E136)-SUM(F$6:F136))</f>
        <v/>
      </c>
      <c r="H136" s="192" t="n"/>
    </row>
    <row r="137">
      <c r="A137" s="193" t="n"/>
      <c r="B137" s="193" t="n"/>
      <c r="C137" s="192" t="n"/>
      <c r="D137" s="192" t="n"/>
      <c r="E137" s="907" t="n"/>
      <c r="F137" s="907" t="n"/>
      <c r="G137" s="908">
        <f>IF(AND(E137="",F137=""),"",N($C$3)+SUM(E$6:E137)-SUM(F$6:F137))</f>
        <v/>
      </c>
      <c r="H137" s="192" t="n"/>
    </row>
    <row r="138">
      <c r="A138" s="193" t="n"/>
      <c r="B138" s="193" t="n"/>
      <c r="C138" s="192" t="n"/>
      <c r="D138" s="192" t="n"/>
      <c r="E138" s="907" t="n"/>
      <c r="F138" s="907" t="n"/>
      <c r="G138" s="908">
        <f>IF(AND(E138="",F138=""),"",N($C$3)+SUM(E$6:E138)-SUM(F$6:F138))</f>
        <v/>
      </c>
      <c r="H138" s="192" t="n"/>
    </row>
    <row r="139">
      <c r="A139" s="193" t="n"/>
      <c r="B139" s="193" t="n"/>
      <c r="C139" s="192" t="n"/>
      <c r="D139" s="192" t="n"/>
      <c r="E139" s="907" t="n"/>
      <c r="F139" s="907" t="n"/>
      <c r="G139" s="908">
        <f>IF(AND(E139="",F139=""),"",N($C$3)+SUM(E$6:E139)-SUM(F$6:F139))</f>
        <v/>
      </c>
      <c r="H139" s="192" t="n"/>
    </row>
    <row r="140">
      <c r="A140" s="193" t="n"/>
      <c r="B140" s="193" t="n"/>
      <c r="C140" s="192" t="n"/>
      <c r="D140" s="192" t="n"/>
      <c r="E140" s="907" t="n"/>
      <c r="F140" s="907" t="n"/>
      <c r="G140" s="908">
        <f>IF(AND(E140="",F140=""),"",N($C$3)+SUM(E$6:E140)-SUM(F$6:F140))</f>
        <v/>
      </c>
      <c r="H140" s="192" t="n"/>
    </row>
    <row r="141">
      <c r="A141" s="193" t="n"/>
      <c r="B141" s="193" t="n"/>
      <c r="C141" s="192" t="n"/>
      <c r="D141" s="192" t="n"/>
      <c r="E141" s="907" t="n"/>
      <c r="F141" s="907" t="n"/>
      <c r="G141" s="908">
        <f>IF(AND(E141="",F141=""),"",N($C$3)+SUM(E$6:E141)-SUM(F$6:F141))</f>
        <v/>
      </c>
      <c r="H141" s="192" t="n"/>
    </row>
    <row r="142">
      <c r="A142" s="193" t="n"/>
      <c r="B142" s="193" t="n"/>
      <c r="C142" s="192" t="n"/>
      <c r="D142" s="192" t="n"/>
      <c r="E142" s="907" t="n"/>
      <c r="F142" s="907" t="n"/>
      <c r="G142" s="908">
        <f>IF(AND(E142="",F142=""),"",N($C$3)+SUM(E$6:E142)-SUM(F$6:F142))</f>
        <v/>
      </c>
      <c r="H142" s="192" t="n"/>
    </row>
    <row r="143">
      <c r="A143" s="193" t="n"/>
      <c r="B143" s="193" t="n"/>
      <c r="C143" s="192" t="n"/>
      <c r="D143" s="192" t="n"/>
      <c r="E143" s="907" t="n"/>
      <c r="F143" s="907" t="n"/>
      <c r="G143" s="908">
        <f>IF(AND(E143="",F143=""),"",N($C$3)+SUM(E$6:E143)-SUM(F$6:F143))</f>
        <v/>
      </c>
      <c r="H143" s="192" t="n"/>
    </row>
    <row r="144">
      <c r="A144" s="193" t="n"/>
      <c r="B144" s="193" t="n"/>
      <c r="C144" s="192" t="n"/>
      <c r="D144" s="192" t="n"/>
      <c r="E144" s="907" t="n"/>
      <c r="F144" s="907" t="n"/>
      <c r="G144" s="908">
        <f>IF(AND(E144="",F144=""),"",N($C$3)+SUM(E$6:E144)-SUM(F$6:F144))</f>
        <v/>
      </c>
      <c r="H144" s="192" t="n"/>
    </row>
    <row r="145">
      <c r="A145" s="193" t="n"/>
      <c r="B145" s="193" t="n"/>
      <c r="C145" s="192" t="n"/>
      <c r="D145" s="192" t="n"/>
      <c r="E145" s="907" t="n"/>
      <c r="F145" s="907" t="n"/>
      <c r="G145" s="908">
        <f>IF(AND(E145="",F145=""),"",N($C$3)+SUM(E$6:E145)-SUM(F$6:F145))</f>
        <v/>
      </c>
      <c r="H145" s="192" t="n"/>
    </row>
    <row r="146">
      <c r="A146" s="193" t="n"/>
      <c r="B146" s="193" t="n"/>
      <c r="C146" s="192" t="n"/>
      <c r="D146" s="192" t="n"/>
      <c r="E146" s="907" t="n"/>
      <c r="F146" s="907" t="n"/>
      <c r="G146" s="908">
        <f>IF(AND(E146="",F146=""),"",N($C$3)+SUM(E$6:E146)-SUM(F$6:F146))</f>
        <v/>
      </c>
      <c r="H146" s="192" t="n"/>
    </row>
    <row r="147">
      <c r="A147" s="193" t="n"/>
      <c r="B147" s="193" t="n"/>
      <c r="C147" s="192" t="n"/>
      <c r="D147" s="192" t="n"/>
      <c r="E147" s="907" t="n"/>
      <c r="F147" s="907" t="n"/>
      <c r="G147" s="908">
        <f>IF(AND(E147="",F147=""),"",N($C$3)+SUM(E$6:E147)-SUM(F$6:F147))</f>
        <v/>
      </c>
      <c r="H147" s="192" t="n"/>
    </row>
    <row r="148">
      <c r="A148" s="193" t="n"/>
      <c r="B148" s="193" t="n"/>
      <c r="C148" s="192" t="n"/>
      <c r="D148" s="192" t="n"/>
      <c r="E148" s="907" t="n"/>
      <c r="F148" s="907" t="n"/>
      <c r="G148" s="908">
        <f>IF(AND(E148="",F148=""),"",N($C$3)+SUM(E$6:E148)-SUM(F$6:F148))</f>
        <v/>
      </c>
      <c r="H148" s="192" t="n"/>
    </row>
    <row r="149">
      <c r="A149" s="193" t="n"/>
      <c r="B149" s="193" t="n"/>
      <c r="C149" s="192" t="n"/>
      <c r="D149" s="192" t="n"/>
      <c r="E149" s="907" t="n"/>
      <c r="F149" s="907" t="n"/>
      <c r="G149" s="908">
        <f>IF(AND(E149="",F149=""),"",N($C$3)+SUM(E$6:E149)-SUM(F$6:F149))</f>
        <v/>
      </c>
      <c r="H149" s="192" t="n"/>
    </row>
    <row r="150">
      <c r="A150" s="193" t="n"/>
      <c r="B150" s="193" t="n"/>
      <c r="C150" s="192" t="n"/>
      <c r="D150" s="192" t="n"/>
      <c r="E150" s="907" t="n"/>
      <c r="F150" s="907" t="n"/>
      <c r="G150" s="908">
        <f>IF(AND(E150="",F150=""),"",N($C$3)+SUM(E$6:E150)-SUM(F$6:F150))</f>
        <v/>
      </c>
      <c r="H150" s="192" t="n"/>
    </row>
    <row r="151">
      <c r="A151" s="193" t="n"/>
      <c r="B151" s="193" t="n"/>
      <c r="C151" s="192" t="n"/>
      <c r="D151" s="192" t="n"/>
      <c r="E151" s="907" t="n"/>
      <c r="F151" s="907" t="n"/>
      <c r="G151" s="908">
        <f>IF(AND(E151="",F151=""),"",N($C$3)+SUM(E$6:E151)-SUM(F$6:F151))</f>
        <v/>
      </c>
      <c r="H151" s="192" t="n"/>
    </row>
    <row r="152">
      <c r="A152" s="193" t="n"/>
      <c r="B152" s="193" t="n"/>
      <c r="C152" s="192" t="n"/>
      <c r="D152" s="192" t="n"/>
      <c r="E152" s="907" t="n"/>
      <c r="F152" s="907" t="n"/>
      <c r="G152" s="908">
        <f>IF(AND(E152="",F152=""),"",N($C$3)+SUM(E$6:E152)-SUM(F$6:F152))</f>
        <v/>
      </c>
      <c r="H152" s="192" t="n"/>
    </row>
    <row r="153">
      <c r="A153" s="193" t="n"/>
      <c r="B153" s="193" t="n"/>
      <c r="C153" s="192" t="n"/>
      <c r="D153" s="192" t="n"/>
      <c r="E153" s="907" t="n"/>
      <c r="F153" s="907" t="n"/>
      <c r="G153" s="908">
        <f>IF(AND(E153="",F153=""),"",N($C$3)+SUM(E$6:E153)-SUM(F$6:F153))</f>
        <v/>
      </c>
      <c r="H153" s="192" t="n"/>
    </row>
    <row r="154">
      <c r="A154" s="193" t="n"/>
      <c r="B154" s="193" t="n"/>
      <c r="C154" s="192" t="n"/>
      <c r="D154" s="192" t="n"/>
      <c r="E154" s="907" t="n"/>
      <c r="F154" s="907" t="n"/>
      <c r="G154" s="908">
        <f>IF(AND(E154="",F154=""),"",N($C$3)+SUM(E$6:E154)-SUM(F$6:F154))</f>
        <v/>
      </c>
      <c r="H154" s="192" t="n"/>
    </row>
    <row r="155">
      <c r="A155" s="193" t="n"/>
      <c r="B155" s="193" t="n"/>
      <c r="C155" s="192" t="n"/>
      <c r="D155" s="192" t="n"/>
      <c r="E155" s="907" t="n"/>
      <c r="F155" s="907" t="n"/>
      <c r="G155" s="908">
        <f>IF(AND(E155="",F155=""),"",N($C$3)+SUM(E$6:E155)-SUM(F$6:F155))</f>
        <v/>
      </c>
      <c r="H155" s="192" t="n"/>
    </row>
    <row r="156">
      <c r="A156" s="193" t="n"/>
      <c r="B156" s="193" t="n"/>
      <c r="C156" s="192" t="n"/>
      <c r="D156" s="192" t="n"/>
      <c r="E156" s="907" t="n"/>
      <c r="F156" s="907" t="n"/>
      <c r="G156" s="908">
        <f>IF(AND(E156="",F156=""),"",N($C$3)+SUM(E$6:E156)-SUM(F$6:F156))</f>
        <v/>
      </c>
      <c r="H156" s="192" t="n"/>
    </row>
    <row r="157">
      <c r="A157" s="193" t="n"/>
      <c r="B157" s="193" t="n"/>
      <c r="C157" s="192" t="n"/>
      <c r="D157" s="192" t="n"/>
      <c r="E157" s="907" t="n"/>
      <c r="F157" s="907" t="n"/>
      <c r="G157" s="908">
        <f>IF(AND(E157="",F157=""),"",N($C$3)+SUM(E$6:E157)-SUM(F$6:F157))</f>
        <v/>
      </c>
      <c r="H157" s="192" t="n"/>
    </row>
    <row r="158">
      <c r="A158" s="193" t="n"/>
      <c r="B158" s="193" t="n"/>
      <c r="C158" s="192" t="n"/>
      <c r="D158" s="192" t="n"/>
      <c r="E158" s="907" t="n"/>
      <c r="F158" s="907" t="n"/>
      <c r="G158" s="908">
        <f>IF(AND(E158="",F158=""),"",N($C$3)+SUM(E$6:E158)-SUM(F$6:F158))</f>
        <v/>
      </c>
      <c r="H158" s="192" t="n"/>
    </row>
    <row r="159">
      <c r="A159" s="193" t="n"/>
      <c r="B159" s="193" t="n"/>
      <c r="C159" s="192" t="n"/>
      <c r="D159" s="192" t="n"/>
      <c r="E159" s="907" t="n"/>
      <c r="F159" s="907" t="n"/>
      <c r="G159" s="908">
        <f>IF(AND(E159="",F159=""),"",N($C$3)+SUM(E$6:E159)-SUM(F$6:F159))</f>
        <v/>
      </c>
      <c r="H159" s="192" t="n"/>
    </row>
    <row r="160">
      <c r="A160" s="193" t="n"/>
      <c r="B160" s="193" t="n"/>
      <c r="C160" s="192" t="n"/>
      <c r="D160" s="192" t="n"/>
      <c r="E160" s="907" t="n"/>
      <c r="F160" s="907" t="n"/>
      <c r="G160" s="908">
        <f>IF(AND(E160="",F160=""),"",N($C$3)+SUM(E$6:E160)-SUM(F$6:F160))</f>
        <v/>
      </c>
      <c r="H160" s="192" t="n"/>
    </row>
    <row r="161">
      <c r="A161" s="193" t="n"/>
      <c r="B161" s="193" t="n"/>
      <c r="C161" s="192" t="n"/>
      <c r="D161" s="192" t="n"/>
      <c r="E161" s="907" t="n"/>
      <c r="F161" s="907" t="n"/>
      <c r="G161" s="908">
        <f>IF(AND(E161="",F161=""),"",N($C$3)+SUM(E$6:E161)-SUM(F$6:F161))</f>
        <v/>
      </c>
      <c r="H161" s="192" t="n"/>
    </row>
    <row r="162">
      <c r="A162" s="193" t="n"/>
      <c r="B162" s="193" t="n"/>
      <c r="C162" s="192" t="n"/>
      <c r="D162" s="192" t="n"/>
      <c r="E162" s="907" t="n"/>
      <c r="F162" s="907" t="n"/>
      <c r="G162" s="908">
        <f>IF(AND(E162="",F162=""),"",N($C$3)+SUM(E$6:E162)-SUM(F$6:F162))</f>
        <v/>
      </c>
      <c r="H162" s="192" t="n"/>
    </row>
    <row r="163">
      <c r="A163" s="193" t="n"/>
      <c r="B163" s="193" t="n"/>
      <c r="C163" s="192" t="n"/>
      <c r="D163" s="192" t="n"/>
      <c r="E163" s="907" t="n"/>
      <c r="F163" s="907" t="n"/>
      <c r="G163" s="908">
        <f>IF(AND(E163="",F163=""),"",N($C$3)+SUM(E$6:E163)-SUM(F$6:F163))</f>
        <v/>
      </c>
      <c r="H163" s="192" t="n"/>
    </row>
    <row r="164">
      <c r="A164" s="193" t="n"/>
      <c r="B164" s="193" t="n"/>
      <c r="C164" s="192" t="n"/>
      <c r="D164" s="192" t="n"/>
      <c r="E164" s="907" t="n"/>
      <c r="F164" s="907" t="n"/>
      <c r="G164" s="908">
        <f>IF(AND(E164="",F164=""),"",N($C$3)+SUM(E$6:E164)-SUM(F$6:F164))</f>
        <v/>
      </c>
      <c r="H164" s="192" t="n"/>
    </row>
    <row r="165">
      <c r="A165" s="193" t="n"/>
      <c r="B165" s="193" t="n"/>
      <c r="C165" s="192" t="n"/>
      <c r="D165" s="192" t="n"/>
      <c r="E165" s="907" t="n"/>
      <c r="F165" s="907" t="n"/>
      <c r="G165" s="908">
        <f>IF(AND(E165="",F165=""),"",N($C$3)+SUM(E$6:E165)-SUM(F$6:F165))</f>
        <v/>
      </c>
      <c r="H165" s="192" t="n"/>
    </row>
    <row r="166">
      <c r="A166" s="193" t="n"/>
      <c r="B166" s="193" t="n"/>
      <c r="C166" s="192" t="n"/>
      <c r="D166" s="192" t="n"/>
      <c r="E166" s="907" t="n"/>
      <c r="F166" s="907" t="n"/>
      <c r="G166" s="908">
        <f>IF(AND(E166="",F166=""),"",N($C$3)+SUM(E$6:E166)-SUM(F$6:F166))</f>
        <v/>
      </c>
      <c r="H166" s="192" t="n"/>
    </row>
    <row r="167">
      <c r="A167" s="193" t="n"/>
      <c r="B167" s="193" t="n"/>
      <c r="C167" s="192" t="n"/>
      <c r="D167" s="192" t="n"/>
      <c r="E167" s="907" t="n"/>
      <c r="F167" s="907" t="n"/>
      <c r="G167" s="908">
        <f>IF(AND(E167="",F167=""),"",N($C$3)+SUM(E$6:E167)-SUM(F$6:F167))</f>
        <v/>
      </c>
      <c r="H167" s="192" t="n"/>
    </row>
    <row r="168">
      <c r="A168" s="193" t="n"/>
      <c r="B168" s="193" t="n"/>
      <c r="C168" s="192" t="n"/>
      <c r="D168" s="192" t="n"/>
      <c r="E168" s="907" t="n"/>
      <c r="F168" s="907" t="n"/>
      <c r="G168" s="908">
        <f>IF(AND(E168="",F168=""),"",N($C$3)+SUM(E$6:E168)-SUM(F$6:F168))</f>
        <v/>
      </c>
      <c r="H168" s="192" t="n"/>
    </row>
    <row r="169">
      <c r="A169" s="193" t="n"/>
      <c r="B169" s="193" t="n"/>
      <c r="C169" s="192" t="n"/>
      <c r="D169" s="192" t="n"/>
      <c r="E169" s="907" t="n"/>
      <c r="F169" s="907" t="n"/>
      <c r="G169" s="908">
        <f>IF(AND(E169="",F169=""),"",N($C$3)+SUM(E$6:E169)-SUM(F$6:F169))</f>
        <v/>
      </c>
      <c r="H169" s="192" t="n"/>
    </row>
    <row r="170">
      <c r="A170" s="193" t="n"/>
      <c r="B170" s="193" t="n"/>
      <c r="C170" s="192" t="n"/>
      <c r="D170" s="192" t="n"/>
      <c r="E170" s="907" t="n"/>
      <c r="F170" s="907" t="n"/>
      <c r="G170" s="908">
        <f>IF(AND(E170="",F170=""),"",N($C$3)+SUM(E$6:E170)-SUM(F$6:F170))</f>
        <v/>
      </c>
      <c r="H170" s="192" t="n"/>
    </row>
    <row r="171">
      <c r="A171" s="193" t="n"/>
      <c r="B171" s="193" t="n"/>
      <c r="C171" s="192" t="n"/>
      <c r="D171" s="192" t="n"/>
      <c r="E171" s="907" t="n"/>
      <c r="F171" s="907" t="n"/>
      <c r="G171" s="908">
        <f>IF(AND(E171="",F171=""),"",N($C$3)+SUM(E$6:E171)-SUM(F$6:F171))</f>
        <v/>
      </c>
      <c r="H171" s="192" t="n"/>
    </row>
    <row r="172">
      <c r="A172" s="193" t="n"/>
      <c r="B172" s="193" t="n"/>
      <c r="C172" s="192" t="n"/>
      <c r="D172" s="192" t="n"/>
      <c r="E172" s="907" t="n"/>
      <c r="F172" s="907" t="n"/>
      <c r="G172" s="908">
        <f>IF(AND(E172="",F172=""),"",N($C$3)+SUM(E$6:E172)-SUM(F$6:F172))</f>
        <v/>
      </c>
      <c r="H172" s="192" t="n"/>
    </row>
    <row r="173">
      <c r="A173" s="193" t="n"/>
      <c r="B173" s="193" t="n"/>
      <c r="C173" s="192" t="n"/>
      <c r="D173" s="192" t="n"/>
      <c r="E173" s="907" t="n"/>
      <c r="F173" s="907" t="n"/>
      <c r="G173" s="908">
        <f>IF(AND(E173="",F173=""),"",N($C$3)+SUM(E$6:E173)-SUM(F$6:F173))</f>
        <v/>
      </c>
      <c r="H173" s="192" t="n"/>
    </row>
    <row r="174">
      <c r="A174" s="193" t="n"/>
      <c r="B174" s="193" t="n"/>
      <c r="C174" s="192" t="n"/>
      <c r="D174" s="192" t="n"/>
      <c r="E174" s="907" t="n"/>
      <c r="F174" s="907" t="n"/>
      <c r="G174" s="908">
        <f>IF(AND(E174="",F174=""),"",N($C$3)+SUM(E$6:E174)-SUM(F$6:F174))</f>
        <v/>
      </c>
      <c r="H174" s="192" t="n"/>
    </row>
    <row r="175">
      <c r="A175" s="193" t="n"/>
      <c r="B175" s="193" t="n"/>
      <c r="C175" s="192" t="n"/>
      <c r="D175" s="192" t="n"/>
      <c r="E175" s="907" t="n"/>
      <c r="F175" s="907" t="n"/>
      <c r="G175" s="908">
        <f>IF(AND(E175="",F175=""),"",N($C$3)+SUM(E$6:E175)-SUM(F$6:F175))</f>
        <v/>
      </c>
      <c r="H175" s="192" t="n"/>
    </row>
    <row r="176">
      <c r="A176" s="193" t="n"/>
      <c r="B176" s="193" t="n"/>
      <c r="C176" s="192" t="n"/>
      <c r="D176" s="192" t="n"/>
      <c r="E176" s="907" t="n"/>
      <c r="F176" s="907" t="n"/>
      <c r="G176" s="908">
        <f>IF(AND(E176="",F176=""),"",N($C$3)+SUM(E$6:E176)-SUM(F$6:F176))</f>
        <v/>
      </c>
      <c r="H176" s="192" t="n"/>
    </row>
    <row r="177">
      <c r="A177" s="193" t="n"/>
      <c r="B177" s="193" t="n"/>
      <c r="C177" s="192" t="n"/>
      <c r="D177" s="192" t="n"/>
      <c r="E177" s="907" t="n"/>
      <c r="F177" s="907" t="n"/>
      <c r="G177" s="908">
        <f>IF(AND(E177="",F177=""),"",N($C$3)+SUM(E$6:E177)-SUM(F$6:F177))</f>
        <v/>
      </c>
      <c r="H177" s="192" t="n"/>
    </row>
    <row r="178">
      <c r="A178" s="193" t="n"/>
      <c r="B178" s="193" t="n"/>
      <c r="C178" s="192" t="n"/>
      <c r="D178" s="192" t="n"/>
      <c r="E178" s="907" t="n"/>
      <c r="F178" s="907" t="n"/>
      <c r="G178" s="908">
        <f>IF(AND(E178="",F178=""),"",N($C$3)+SUM(E$6:E178)-SUM(F$6:F178))</f>
        <v/>
      </c>
      <c r="H178" s="192" t="n"/>
    </row>
    <row r="179">
      <c r="A179" s="193" t="n"/>
      <c r="B179" s="193" t="n"/>
      <c r="C179" s="192" t="n"/>
      <c r="D179" s="192" t="n"/>
      <c r="E179" s="907" t="n"/>
      <c r="F179" s="907" t="n"/>
      <c r="G179" s="908">
        <f>IF(AND(E179="",F179=""),"",N($C$3)+SUM(E$6:E179)-SUM(F$6:F179))</f>
        <v/>
      </c>
      <c r="H179" s="192" t="n"/>
    </row>
    <row r="180">
      <c r="A180" s="193" t="n"/>
      <c r="B180" s="193" t="n"/>
      <c r="C180" s="192" t="n"/>
      <c r="D180" s="192" t="n"/>
      <c r="E180" s="907" t="n"/>
      <c r="F180" s="907" t="n"/>
      <c r="G180" s="908">
        <f>IF(AND(E180="",F180=""),"",N($C$3)+SUM(E$6:E180)-SUM(F$6:F180))</f>
        <v/>
      </c>
      <c r="H180" s="192" t="n"/>
    </row>
    <row r="181">
      <c r="A181" s="193" t="n"/>
      <c r="B181" s="193" t="n"/>
      <c r="C181" s="192" t="n"/>
      <c r="D181" s="192" t="n"/>
      <c r="E181" s="907" t="n"/>
      <c r="F181" s="907" t="n"/>
      <c r="G181" s="908">
        <f>IF(AND(E181="",F181=""),"",N($C$3)+SUM(E$6:E181)-SUM(F$6:F181))</f>
        <v/>
      </c>
      <c r="H181" s="192" t="n"/>
    </row>
    <row r="182">
      <c r="A182" s="193" t="n"/>
      <c r="B182" s="193" t="n"/>
      <c r="C182" s="192" t="n"/>
      <c r="D182" s="192" t="n"/>
      <c r="E182" s="907" t="n"/>
      <c r="F182" s="907" t="n"/>
      <c r="G182" s="908">
        <f>IF(AND(E182="",F182=""),"",N($C$3)+SUM(E$6:E182)-SUM(F$6:F182))</f>
        <v/>
      </c>
      <c r="H182" s="192" t="n"/>
    </row>
    <row r="183">
      <c r="A183" s="193" t="n"/>
      <c r="B183" s="193" t="n"/>
      <c r="C183" s="192" t="n"/>
      <c r="D183" s="192" t="n"/>
      <c r="E183" s="907" t="n"/>
      <c r="F183" s="907" t="n"/>
      <c r="G183" s="908">
        <f>IF(AND(E183="",F183=""),"",N($C$3)+SUM(E$6:E183)-SUM(F$6:F183))</f>
        <v/>
      </c>
      <c r="H183" s="192" t="n"/>
    </row>
    <row r="184">
      <c r="A184" s="193" t="n"/>
      <c r="B184" s="193" t="n"/>
      <c r="C184" s="192" t="n"/>
      <c r="D184" s="192" t="n"/>
      <c r="E184" s="907" t="n"/>
      <c r="F184" s="907" t="n"/>
      <c r="G184" s="908">
        <f>IF(AND(E184="",F184=""),"",N($C$3)+SUM(E$6:E184)-SUM(F$6:F184))</f>
        <v/>
      </c>
      <c r="H184" s="192" t="n"/>
    </row>
    <row r="185">
      <c r="A185" s="193" t="n"/>
      <c r="B185" s="193" t="n"/>
      <c r="C185" s="192" t="n"/>
      <c r="D185" s="192" t="n"/>
      <c r="E185" s="907" t="n"/>
      <c r="F185" s="907" t="n"/>
      <c r="G185" s="908">
        <f>IF(AND(E185="",F185=""),"",N($C$3)+SUM(E$6:E185)-SUM(F$6:F185))</f>
        <v/>
      </c>
      <c r="H185" s="192" t="n"/>
    </row>
    <row r="186">
      <c r="A186" s="193" t="n"/>
      <c r="B186" s="193" t="n"/>
      <c r="C186" s="192" t="n"/>
      <c r="D186" s="192" t="n"/>
      <c r="E186" s="907" t="n"/>
      <c r="F186" s="907" t="n"/>
      <c r="G186" s="908">
        <f>IF(AND(E186="",F186=""),"",N($C$3)+SUM(E$6:E186)-SUM(F$6:F186))</f>
        <v/>
      </c>
      <c r="H186" s="192" t="n"/>
    </row>
    <row r="187">
      <c r="A187" s="193" t="n"/>
      <c r="B187" s="193" t="n"/>
      <c r="C187" s="192" t="n"/>
      <c r="D187" s="192" t="n"/>
      <c r="E187" s="907" t="n"/>
      <c r="F187" s="907" t="n"/>
      <c r="G187" s="908">
        <f>IF(AND(E187="",F187=""),"",N($C$3)+SUM(E$6:E187)-SUM(F$6:F187))</f>
        <v/>
      </c>
      <c r="H187" s="192" t="n"/>
    </row>
    <row r="188">
      <c r="A188" s="193" t="n"/>
      <c r="B188" s="193" t="n"/>
      <c r="C188" s="192" t="n"/>
      <c r="D188" s="192" t="n"/>
      <c r="E188" s="907" t="n"/>
      <c r="F188" s="907" t="n"/>
      <c r="G188" s="908">
        <f>IF(AND(E188="",F188=""),"",N($C$3)+SUM(E$6:E188)-SUM(F$6:F188))</f>
        <v/>
      </c>
      <c r="H188" s="192" t="n"/>
    </row>
    <row r="189">
      <c r="A189" s="193" t="n"/>
      <c r="B189" s="193" t="n"/>
      <c r="C189" s="192" t="n"/>
      <c r="D189" s="192" t="n"/>
      <c r="E189" s="907" t="n"/>
      <c r="F189" s="907" t="n"/>
      <c r="G189" s="908">
        <f>IF(AND(E189="",F189=""),"",N($C$3)+SUM(E$6:E189)-SUM(F$6:F189))</f>
        <v/>
      </c>
      <c r="H189" s="192" t="n"/>
    </row>
    <row r="190">
      <c r="A190" s="193" t="n"/>
      <c r="B190" s="193" t="n"/>
      <c r="C190" s="192" t="n"/>
      <c r="D190" s="192" t="n"/>
      <c r="E190" s="907" t="n"/>
      <c r="F190" s="907" t="n"/>
      <c r="G190" s="908">
        <f>IF(AND(E190="",F190=""),"",N($C$3)+SUM(E$6:E190)-SUM(F$6:F190))</f>
        <v/>
      </c>
      <c r="H190" s="192" t="n"/>
    </row>
    <row r="191">
      <c r="A191" s="193" t="n"/>
      <c r="B191" s="193" t="n"/>
      <c r="C191" s="192" t="n"/>
      <c r="D191" s="192" t="n"/>
      <c r="E191" s="907" t="n"/>
      <c r="F191" s="907" t="n"/>
      <c r="G191" s="908">
        <f>IF(AND(E191="",F191=""),"",N($C$3)+SUM(E$6:E191)-SUM(F$6:F191))</f>
        <v/>
      </c>
      <c r="H191" s="192" t="n"/>
    </row>
    <row r="192">
      <c r="A192" s="193" t="n"/>
      <c r="B192" s="193" t="n"/>
      <c r="C192" s="192" t="n"/>
      <c r="D192" s="192" t="n"/>
      <c r="E192" s="907" t="n"/>
      <c r="F192" s="907" t="n"/>
      <c r="G192" s="908">
        <f>IF(AND(E192="",F192=""),"",N($C$3)+SUM(E$6:E192)-SUM(F$6:F192))</f>
        <v/>
      </c>
      <c r="H192" s="192" t="n"/>
    </row>
    <row r="193">
      <c r="A193" s="193" t="n"/>
      <c r="B193" s="193" t="n"/>
      <c r="C193" s="192" t="n"/>
      <c r="D193" s="192" t="n"/>
      <c r="E193" s="907" t="n"/>
      <c r="F193" s="907" t="n"/>
      <c r="G193" s="908">
        <f>IF(AND(E193="",F193=""),"",N($C$3)+SUM(E$6:E193)-SUM(F$6:F193))</f>
        <v/>
      </c>
      <c r="H193" s="192" t="n"/>
    </row>
    <row r="194">
      <c r="A194" s="193" t="n"/>
      <c r="B194" s="193" t="n"/>
      <c r="C194" s="192" t="n"/>
      <c r="D194" s="192" t="n"/>
      <c r="E194" s="907" t="n"/>
      <c r="F194" s="907" t="n"/>
      <c r="G194" s="908">
        <f>IF(AND(E194="",F194=""),"",N($C$3)+SUM(E$6:E194)-SUM(F$6:F194))</f>
        <v/>
      </c>
      <c r="H194" s="192" t="n"/>
    </row>
    <row r="195">
      <c r="A195" s="193" t="n"/>
      <c r="B195" s="193" t="n"/>
      <c r="C195" s="192" t="n"/>
      <c r="D195" s="192" t="n"/>
      <c r="E195" s="907" t="n"/>
      <c r="F195" s="907" t="n"/>
      <c r="G195" s="908">
        <f>IF(AND(E195="",F195=""),"",N($C$3)+SUM(E$6:E195)-SUM(F$6:F195))</f>
        <v/>
      </c>
      <c r="H195" s="192" t="n"/>
    </row>
    <row r="196">
      <c r="A196" s="193" t="n"/>
      <c r="B196" s="193" t="n"/>
      <c r="C196" s="192" t="n"/>
      <c r="D196" s="192" t="n"/>
      <c r="E196" s="907" t="n"/>
      <c r="F196" s="907" t="n"/>
      <c r="G196" s="908">
        <f>IF(AND(E196="",F196=""),"",N($C$3)+SUM(E$6:E196)-SUM(F$6:F196))</f>
        <v/>
      </c>
      <c r="H196" s="192" t="n"/>
    </row>
    <row r="197">
      <c r="A197" s="193" t="n"/>
      <c r="B197" s="193" t="n"/>
      <c r="C197" s="192" t="n"/>
      <c r="D197" s="192" t="n"/>
      <c r="E197" s="907" t="n"/>
      <c r="F197" s="907" t="n"/>
      <c r="G197" s="908">
        <f>IF(AND(E197="",F197=""),"",N($C$3)+SUM(E$6:E197)-SUM(F$6:F197))</f>
        <v/>
      </c>
      <c r="H197" s="192" t="n"/>
    </row>
    <row r="198">
      <c r="A198" s="193" t="n"/>
      <c r="B198" s="193" t="n"/>
      <c r="C198" s="192" t="n"/>
      <c r="D198" s="192" t="n"/>
      <c r="E198" s="907" t="n"/>
      <c r="F198" s="907" t="n"/>
      <c r="G198" s="908">
        <f>IF(AND(E198="",F198=""),"",N($C$3)+SUM(E$6:E198)-SUM(F$6:F198))</f>
        <v/>
      </c>
      <c r="H198" s="192" t="n"/>
    </row>
    <row r="199">
      <c r="A199" s="193" t="n"/>
      <c r="B199" s="193" t="n"/>
      <c r="C199" s="192" t="n"/>
      <c r="D199" s="192" t="n"/>
      <c r="E199" s="907" t="n"/>
      <c r="F199" s="907" t="n"/>
      <c r="G199" s="908">
        <f>IF(AND(E199="",F199=""),"",N($C$3)+SUM(E$6:E199)-SUM(F$6:F199))</f>
        <v/>
      </c>
      <c r="H199" s="192" t="n"/>
    </row>
    <row r="200">
      <c r="A200" s="193" t="n"/>
      <c r="B200" s="193" t="n"/>
      <c r="C200" s="192" t="n"/>
      <c r="D200" s="192" t="n"/>
      <c r="E200" s="907" t="n"/>
      <c r="F200" s="907" t="n"/>
      <c r="G200" s="908">
        <f>IF(AND(E200="",F200=""),"",N($C$3)+SUM(E$6:E200)-SUM(F$6:F200))</f>
        <v/>
      </c>
      <c r="H200" s="192" t="n"/>
    </row>
    <row r="201">
      <c r="A201" s="193" t="n"/>
      <c r="B201" s="193" t="n"/>
      <c r="C201" s="192" t="n"/>
      <c r="D201" s="192" t="n"/>
      <c r="E201" s="907" t="n"/>
      <c r="F201" s="907" t="n"/>
      <c r="G201" s="908">
        <f>IF(AND(E201="",F201=""),"",N($C$3)+SUM(E$6:E201)-SUM(F$6:F201))</f>
        <v/>
      </c>
      <c r="H201" s="192" t="n"/>
    </row>
    <row r="202">
      <c r="A202" s="193" t="n"/>
      <c r="B202" s="193" t="n"/>
      <c r="C202" s="192" t="n"/>
      <c r="D202" s="192" t="n"/>
      <c r="E202" s="907" t="n"/>
      <c r="F202" s="907" t="n"/>
      <c r="G202" s="908">
        <f>IF(AND(E202="",F202=""),"",N($C$3)+SUM(E$6:E202)-SUM(F$6:F202))</f>
        <v/>
      </c>
      <c r="H202" s="192" t="n"/>
    </row>
    <row r="203">
      <c r="A203" s="193" t="n"/>
      <c r="B203" s="193" t="n"/>
      <c r="C203" s="192" t="n"/>
      <c r="D203" s="192" t="n"/>
      <c r="E203" s="907" t="n"/>
      <c r="F203" s="907" t="n"/>
      <c r="G203" s="908">
        <f>IF(AND(E203="",F203=""),"",N($C$3)+SUM(E$6:E203)-SUM(F$6:F203))</f>
        <v/>
      </c>
      <c r="H203" s="192" t="n"/>
    </row>
    <row r="204">
      <c r="A204" s="193" t="n"/>
      <c r="B204" s="193" t="n"/>
      <c r="C204" s="192" t="n"/>
      <c r="D204" s="192" t="n"/>
      <c r="E204" s="907" t="n"/>
      <c r="F204" s="907" t="n"/>
      <c r="G204" s="908">
        <f>IF(AND(E204="",F204=""),"",N($C$3)+SUM(E$6:E204)-SUM(F$6:F204))</f>
        <v/>
      </c>
      <c r="H204" s="192" t="n"/>
    </row>
    <row r="205">
      <c r="A205" s="193" t="n"/>
      <c r="B205" s="193" t="n"/>
      <c r="C205" s="192" t="n"/>
      <c r="D205" s="192" t="n"/>
      <c r="E205" s="907" t="n"/>
      <c r="F205" s="907" t="n"/>
      <c r="G205" s="908">
        <f>IF(AND(E205="",F205=""),"",N($C$3)+SUM(E$6:E205)-SUM(F$6:F205))</f>
        <v/>
      </c>
      <c r="H205" s="19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">
    <mergeCell ref="K19:L19"/>
  </mergeCells>
  <conditionalFormatting sqref="G6:G205">
    <cfRule type="expression" priority="1" dxfId="4">
      <formula>AND(G6&lt;&gt;"",G6&lt;0)</formula>
    </cfRule>
  </conditionalFormatting>
  <dataValidations count="4">
    <dataValidation sqref="A6:A205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31</formula2>
    </dataValidation>
    <dataValidation sqref="B6:B205" showDropDown="0" showInputMessage="0" showErrorMessage="0" allowBlank="1" errorTitle="ตรวจสอบข้อมูล" error="ข้อมูลไม่ถูกต้อง กรุณาเลือกจากรายการ" type="list">
      <formula1>"พฤษภาคม,มิถุนายน,กรกฎาคม,สิงหาคม,กันยายน,ตุลาคม,พฤศจิกายน,ธันวาคม,มกราคม,กุมภาพันธ์,มีนาคม,เมษายน"</formula1>
    </dataValidation>
    <dataValidation sqref="D6:D205" showDropDown="0" showInputMessage="0" showErrorMessage="0" allowBlank="1" errorTitle="ตรวจสอบข้อมูล" error="ข้อมูลไม่ถูกต้อง กรุณาเลือกจากรายการ" type="list">
      <formula1>"เงินบริจาค / ผู้ปกครองสมทบ,ค่ากิจกรรม,เงินโรงเรียนจัดสรร,ค่าวัสดุอุปกรณ์,ค่าอาหาร / ขนม,ค่าตกแต่งห้องเรียน,ค่าทัศนศึกษา,อื่น ๆ"</formula1>
    </dataValidation>
    <dataValidation sqref="E6:F205" showDropDown="0" showInputMessage="0" showErrorMessage="0" allowBlank="1" errorTitle="ตรวจสอบข้อมูล" error="ข้อมูลไม่ถูกต้อง กรุณาเลือกจากรายการ" type="decimal" operator="between">
      <formula1>0</formula1>
      <formula2>10000000</formula2>
    </dataValidation>
  </dataValidation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0" fitToWidth="1"/>
  <drawing xmlns:r="http://schemas.openxmlformats.org/officeDocument/2006/relationships" r:id="rId1"/>
</worksheet>
</file>

<file path=xl/worksheets/sheet49.xml><?xml version="1.0" encoding="utf-8"?>
<worksheet xmlns="http://schemas.openxmlformats.org/spreadsheetml/2006/main">
  <sheetPr>
    <tabColor rgb="00F8BC4C"/>
    <outlinePr summaryBelow="1" summaryRight="1"/>
    <pageSetUpPr/>
  </sheetPr>
  <dimension ref="A1:F17"/>
  <sheetViews>
    <sheetView showGridLines="0" tabSelected="0" workbookViewId="0">
      <selection activeCell="A1" sqref="A1"/>
    </sheetView>
  </sheetViews>
  <sheetFormatPr baseColWidth="8" defaultRowHeight="15"/>
  <cols>
    <col width="1.5" customWidth="1" min="1" max="1"/>
    <col width="44" customWidth="1" min="2" max="2"/>
    <col width="3" customWidth="1" min="3" max="3"/>
    <col width="44" customWidth="1" min="4" max="4"/>
    <col width="42" customWidth="1" min="6" max="6"/>
  </cols>
  <sheetData>
    <row r="1" ht="18" customHeight="1">
      <c r="B1" s="916">
        <f>IF('ข้อมูลนักเรียน'!T9="","","โรงเรียน"&amp;'ข้อมูลโรงเรียน'!$C$5)</f>
        <v/>
      </c>
      <c r="D1" s="917">
        <f>IF('ข้อมูลนักเรียน'!T10="","","โรงเรียน"&amp;'ข้อมูลโรงเรียน'!$C$5)</f>
        <v/>
      </c>
      <c r="F1" s="918" t="inlineStr">
        <is>
          <t>ป้ายชื่อติดโต๊ะ / ตู้ / ที่แขวนกระเป๋า</t>
        </is>
      </c>
    </row>
    <row r="2" ht="50" customHeight="1">
      <c r="B2" s="919">
        <f>IF('ข้อมูลนักเรียน'!G9&lt;&gt;"",'ข้อมูลนักเรียน'!G9,'ข้อมูลนักเรียน'!E9)&amp;""</f>
        <v/>
      </c>
      <c r="D2" s="920">
        <f>IF('ข้อมูลนักเรียน'!G10&lt;&gt;"",'ข้อมูลนักเรียน'!G10,'ข้อมูลนักเรียน'!E10)&amp;""</f>
        <v/>
      </c>
    </row>
    <row r="3" ht="22" customHeight="1">
      <c r="B3" s="921">
        <f>'ข้อมูลนักเรียน'!T9&amp;""</f>
        <v/>
      </c>
      <c r="D3" s="922">
        <f>'ข้อมูลนักเรียน'!T10&amp;""</f>
        <v/>
      </c>
      <c r="F3" s="189" t="inlineStr">
        <is>
          <t>• ชื่อใหญ่ใช้ชื่อเล่น (ถ้าไม่มีใช้ชื่อจริง)</t>
        </is>
      </c>
    </row>
    <row r="4" ht="18" customHeight="1">
      <c r="B4" s="923">
        <f>IF('ข้อมูลนักเรียน'!T9="","","ชั้น"&amp;'ข้อมูลโรงเรียน'!$C$7&amp;"/"&amp;'ข้อมูลโรงเรียน'!$C$8&amp;"   เลขที่ 1")</f>
        <v/>
      </c>
      <c r="D4" s="924">
        <f>IF('ข้อมูลนักเรียน'!T10="","","ชั้น"&amp;'ข้อมูลโรงเรียน'!$C$7&amp;"/"&amp;'ข้อมูลโรงเรียน'!$C$8&amp;"   เลขที่ 2")</f>
        <v/>
      </c>
      <c r="F4" s="189" t="inlineStr">
        <is>
          <t>• หน้าละ 10 ป้าย  กด Ctrl + P</t>
        </is>
      </c>
    </row>
    <row r="5" ht="7" customHeight="1">
      <c r="B5" s="925" t="inlineStr"/>
      <c r="D5" s="926" t="inlineStr"/>
      <c r="F5" s="189" t="inlineStr">
        <is>
          <t>• พิมพ์เฉพาะหน้าที่มีชื่อ เช่น 25 คน = 3 หน้า</t>
        </is>
      </c>
    </row>
    <row r="6" ht="12" customHeight="1">
      <c r="F6" s="189" t="inlineStr">
        <is>
          <t>• แนะนำพิมพ์กระดาษการ์ดแล้วเคลือบ</t>
        </is>
      </c>
    </row>
    <row r="7" ht="18" customHeight="1">
      <c r="B7" s="927">
        <f>IF('ข้อมูลนักเรียน'!T11="","","โรงเรียน"&amp;'ข้อมูลโรงเรียน'!$C$5)</f>
        <v/>
      </c>
      <c r="D7" s="928">
        <f>IF('ข้อมูลนักเรียน'!T12="","","โรงเรียน"&amp;'ข้อมูลโรงเรียน'!$C$5)</f>
        <v/>
      </c>
    </row>
    <row r="8" ht="50" customHeight="1">
      <c r="B8" s="929">
        <f>IF('ข้อมูลนักเรียน'!G11&lt;&gt;"",'ข้อมูลนักเรียน'!G11,'ข้อมูลนักเรียน'!E11)&amp;""</f>
        <v/>
      </c>
      <c r="D8" s="930">
        <f>IF('ข้อมูลนักเรียน'!G12&lt;&gt;"",'ข้อมูลนักเรียน'!G12,'ข้อมูลนักเรียน'!E12)&amp;""</f>
        <v/>
      </c>
      <c r="F8" s="931" t="inlineStr">
        <is>
          <t>🏠 กลับหน้าหลัก</t>
        </is>
      </c>
    </row>
    <row r="9" ht="22" customHeight="1">
      <c r="B9" s="932">
        <f>'ข้อมูลนักเรียน'!T11&amp;""</f>
        <v/>
      </c>
      <c r="D9" s="933">
        <f>'ข้อมูลนักเรียน'!T12&amp;""</f>
        <v/>
      </c>
    </row>
    <row r="10" ht="18" customHeight="1">
      <c r="B10" s="934">
        <f>IF('ข้อมูลนักเรียน'!T11="","","ชั้น"&amp;'ข้อมูลโรงเรียน'!$C$7&amp;"/"&amp;'ข้อมูลโรงเรียน'!$C$8&amp;"   เลขที่ 3")</f>
        <v/>
      </c>
      <c r="D10" s="935">
        <f>IF('ข้อมูลนักเรียน'!T12="","","ชั้น"&amp;'ข้อมูลโรงเรียน'!$C$7&amp;"/"&amp;'ข้อมูลโรงเรียน'!$C$8&amp;"   เลขที่ 4")</f>
        <v/>
      </c>
      <c r="F10" s="761" t="inlineStr">
        <is>
          <t>🖨️ หน้าที่ต้องพิมพ์</t>
        </is>
      </c>
    </row>
    <row r="11" ht="34" customHeight="1">
      <c r="B11" s="936" t="inlineStr"/>
      <c r="D11" s="937" t="inlineStr"/>
      <c r="F11" s="762">
        <f>IF(COUNTIF('ข้อมูลนักเรียน'!$E$9:$E$13,"?*")=0,"ยังไม่มีรายชื่อนักเรียน","ห้องนี้มี "&amp;COUNTIF('ข้อมูลนักเรียน'!$E$9:$E$13,"?*")&amp;" คน  →  สั่งพิมพ์หน้า 1 ถึง "&amp;ROUNDUP(SUMPRODUCT(MAX(('ข้อมูลนักเรียน'!$E$9:$E$13&lt;&gt;"")*(ROW('ข้อมูลนักเรียน'!$E$9:$E$13)-8)))/10,0))</f>
        <v/>
      </c>
    </row>
    <row r="12" ht="12" customHeight="1">
      <c r="F12" s="763" t="inlineStr">
        <is>
          <t>(ป้ายชื่อ 10 คน / หน้า  •  ใน Ctrl + P เลือก “หน้า” แล้วใส่ช่วงหน้า)</t>
        </is>
      </c>
    </row>
    <row r="13" ht="18" customHeight="1">
      <c r="B13" s="938">
        <f>IF('ข้อมูลนักเรียน'!T13="","","โรงเรียน"&amp;'ข้อมูลโรงเรียน'!$C$5)</f>
        <v/>
      </c>
    </row>
    <row r="14" ht="50" customHeight="1">
      <c r="B14" s="939">
        <f>IF('ข้อมูลนักเรียน'!G13&lt;&gt;"",'ข้อมูลนักเรียน'!G13,'ข้อมูลนักเรียน'!E13)&amp;""</f>
        <v/>
      </c>
    </row>
    <row r="15" ht="22" customHeight="1">
      <c r="B15" s="940">
        <f>'ข้อมูลนักเรียน'!T13&amp;""</f>
        <v/>
      </c>
    </row>
    <row r="16" ht="18" customHeight="1">
      <c r="B16" s="941">
        <f>IF('ข้อมูลนักเรียน'!T13="","","ชั้น"&amp;'ข้อมูลโรงเรียน'!$C$7&amp;"/"&amp;'ข้อมูลโรงเรียน'!$C$8&amp;"   เลขที่ 5")</f>
        <v/>
      </c>
    </row>
    <row r="17" ht="7" customHeight="1">
      <c r="B17" s="942" t="inlineStr"/>
    </row>
    <row r="18" ht="12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hyperlinks>
    <hyperlink ref="F8" location="'หน้าหลัก'!A1" display="🏠 กลับหน้าหลัก"/>
  </hyperlinks>
  <printOptions horizontalCentered="1"/>
  <pageMargins left="0.4" right="0.4" top="1" bottom="1" header="0.5" footer="0.5"/>
  <pageSetup orientation="portrait" paperSize="9" scale="95"/>
</worksheet>
</file>

<file path=xl/worksheets/sheet50.xml><?xml version="1.0" encoding="utf-8"?>
<worksheet xmlns="http://schemas.openxmlformats.org/spreadsheetml/2006/main">
  <sheetPr>
    <tabColor rgb="0070B8F4"/>
    <outlinePr summaryBelow="1" summaryRight="1"/>
    <pageSetUpPr/>
  </sheetPr>
  <dimension ref="A1:J29"/>
  <sheetViews>
    <sheetView showGridLines="0" tabSelected="0" workbookViewId="0">
      <selection activeCell="A1" sqref="A1"/>
    </sheetView>
  </sheetViews>
  <sheetFormatPr baseColWidth="8" defaultRowHeight="15"/>
  <cols>
    <col width="1" customWidth="1" min="1" max="1"/>
    <col width="11" customWidth="1" min="2" max="2"/>
    <col width="9" customWidth="1" min="3" max="3"/>
    <col width="17" customWidth="1" min="4" max="4"/>
    <col width="3" customWidth="1" min="5" max="5"/>
    <col width="11" customWidth="1" min="6" max="6"/>
    <col width="9" customWidth="1" min="7" max="7"/>
    <col width="17" customWidth="1" min="8" max="8"/>
    <col width="42" customWidth="1" min="10" max="10"/>
  </cols>
  <sheetData>
    <row r="1" ht="17" customHeight="1">
      <c r="B1" s="943">
        <f>"โรงเรียน"&amp;'ข้อมูลโรงเรียน'!$C$5</f>
        <v/>
      </c>
      <c r="C1" s="944" t="n"/>
      <c r="D1" s="945" t="n"/>
      <c r="F1" s="946">
        <f>"โรงเรียน"&amp;'ข้อมูลโรงเรียน'!$C$5</f>
        <v/>
      </c>
      <c r="G1" s="947" t="n"/>
      <c r="H1" s="948" t="n"/>
      <c r="J1" s="181" t="inlineStr">
        <is>
          <t>บัตรประจำตัวนักเรียน</t>
        </is>
      </c>
    </row>
    <row r="2">
      <c r="B2" s="949" t="inlineStr">
        <is>
          <t>บัตรประจำตัวนักเรียน</t>
        </is>
      </c>
      <c r="C2" s="950" t="n"/>
      <c r="D2" s="951" t="n"/>
      <c r="F2" s="952" t="inlineStr">
        <is>
          <t>บัตรประจำตัวนักเรียน</t>
        </is>
      </c>
      <c r="G2" s="950" t="n"/>
      <c r="H2" s="953" t="n"/>
    </row>
    <row r="3" ht="15" customHeight="1">
      <c r="B3" s="954" t="inlineStr">
        <is>
          <t>รูปถ่าย
1 นิ้ว</t>
        </is>
      </c>
      <c r="C3" s="955" t="inlineStr">
        <is>
          <t>ชื่อ</t>
        </is>
      </c>
      <c r="D3" s="956">
        <f>'ข้อมูลนักเรียน'!T9&amp;""</f>
        <v/>
      </c>
      <c r="F3" s="957" t="inlineStr">
        <is>
          <t>รูปถ่าย
1 นิ้ว</t>
        </is>
      </c>
      <c r="G3" s="955" t="inlineStr">
        <is>
          <t>ชื่อ</t>
        </is>
      </c>
      <c r="H3" s="958">
        <f>'ข้อมูลนักเรียน'!T10&amp;""</f>
        <v/>
      </c>
      <c r="J3" s="189" t="inlineStr">
        <is>
          <t>• หน้าละ 8 ใบ  กด Ctrl + P</t>
        </is>
      </c>
    </row>
    <row r="4" ht="15" customHeight="1">
      <c r="B4" s="959" t="n"/>
      <c r="C4" s="955" t="inlineStr">
        <is>
          <t>ชั้น / เลขที่</t>
        </is>
      </c>
      <c r="D4" s="960">
        <f>IF('ข้อมูลนักเรียน'!T9="","",'ข้อมูลโรงเรียน'!$C$7&amp;"/"&amp;'ข้อมูลโรงเรียน'!$C$8&amp;"  เลขที่ 1")</f>
        <v/>
      </c>
      <c r="F4" s="961" t="n"/>
      <c r="G4" s="955" t="inlineStr">
        <is>
          <t>ชั้น / เลขที่</t>
        </is>
      </c>
      <c r="H4" s="962">
        <f>IF('ข้อมูลนักเรียน'!T10="","",'ข้อมูลโรงเรียน'!$C$7&amp;"/"&amp;'ข้อมูลโรงเรียน'!$C$8&amp;"  เลขที่ 2")</f>
        <v/>
      </c>
      <c r="J4" s="189" t="inlineStr">
        <is>
          <t>• ติดรูปถ่ายในช่องว่าง แล้วตัดและเคลือบ</t>
        </is>
      </c>
    </row>
    <row r="5" ht="15" customHeight="1">
      <c r="B5" s="959" t="n"/>
      <c r="C5" s="955" t="inlineStr">
        <is>
          <t>เลขประจำตัว</t>
        </is>
      </c>
      <c r="D5" s="960">
        <f>'ข้อมูลนักเรียน'!B9&amp;""</f>
        <v/>
      </c>
      <c r="F5" s="961" t="n"/>
      <c r="G5" s="955" t="inlineStr">
        <is>
          <t>เลขประจำตัว</t>
        </is>
      </c>
      <c r="H5" s="962">
        <f>'ข้อมูลนักเรียน'!B10&amp;""</f>
        <v/>
      </c>
      <c r="J5" s="189" t="inlineStr">
        <is>
          <t>• ข้อมูลดึงจากทะเบียนนักเรียน</t>
        </is>
      </c>
    </row>
    <row r="6" ht="15" customHeight="1">
      <c r="B6" s="959" t="n"/>
      <c r="C6" s="955" t="inlineStr">
        <is>
          <t>กรุ๊ปเลือด</t>
        </is>
      </c>
      <c r="D6" s="960">
        <f>'ข้อมูลนักเรียน'!L9&amp;""</f>
        <v/>
      </c>
      <c r="F6" s="961" t="n"/>
      <c r="G6" s="955" t="inlineStr">
        <is>
          <t>กรุ๊ปเลือด</t>
        </is>
      </c>
      <c r="H6" s="962">
        <f>'ข้อมูลนักเรียน'!L10&amp;""</f>
        <v/>
      </c>
      <c r="J6" s="189" t="inlineStr">
        <is>
          <t xml:space="preserve">  (เลขประจำตัว กรุ๊ปเลือด การแพ้ โทรศัพท์)</t>
        </is>
      </c>
    </row>
    <row r="7" ht="15" customHeight="1">
      <c r="B7" s="959" t="n"/>
      <c r="C7" s="955" t="inlineStr">
        <is>
          <t>แพ้ / โรค</t>
        </is>
      </c>
      <c r="D7" s="963">
        <f>IF('ข้อมูลนักเรียน'!M9="",IF('ข้อมูลนักเรียน'!T9="","","-"),'ข้อมูลนักเรียน'!M9)</f>
        <v/>
      </c>
      <c r="F7" s="961" t="n"/>
      <c r="G7" s="955" t="inlineStr">
        <is>
          <t>แพ้ / โรค</t>
        </is>
      </c>
      <c r="H7" s="964">
        <f>IF('ข้อมูลนักเรียน'!M10="",IF('ข้อมูลนักเรียน'!T10="","","-"),'ข้อมูลนักเรียน'!M10)</f>
        <v/>
      </c>
      <c r="J7" s="189" t="inlineStr">
        <is>
          <t>• ช่องแพ้/โรค เป็นสีแดงเพื่อความปลอดภัย</t>
        </is>
      </c>
    </row>
    <row r="8" ht="15" customHeight="1">
      <c r="B8" s="959" t="n"/>
      <c r="C8" s="955" t="inlineStr">
        <is>
          <t>โทรผู้ปกครอง</t>
        </is>
      </c>
      <c r="D8" s="960">
        <f>'ข้อมูลนักเรียน'!P9&amp;""</f>
        <v/>
      </c>
      <c r="F8" s="961" t="n"/>
      <c r="G8" s="955" t="inlineStr">
        <is>
          <t>โทรผู้ปกครอง</t>
        </is>
      </c>
      <c r="H8" s="962">
        <f>'ข้อมูลนักเรียน'!P10&amp;""</f>
        <v/>
      </c>
    </row>
    <row r="9" ht="14" customHeight="1">
      <c r="B9" s="965">
        <f>"ปีการศึกษา "&amp;'ข้อมูลโรงเรียน'!$C$12</f>
        <v/>
      </c>
      <c r="C9" s="966" t="n"/>
      <c r="D9" s="967" t="n"/>
      <c r="F9" s="968">
        <f>"ปีการศึกษา "&amp;'ข้อมูลโรงเรียน'!$C$12</f>
        <v/>
      </c>
      <c r="G9" s="969" t="n"/>
      <c r="H9" s="970" t="n"/>
      <c r="J9" s="971" t="inlineStr">
        <is>
          <t>🏠 กลับหน้าหลัก</t>
        </is>
      </c>
    </row>
    <row r="10" ht="12" customHeight="1"/>
    <row r="11" ht="17" customHeight="1">
      <c r="B11" s="972">
        <f>"โรงเรียน"&amp;'ข้อมูลโรงเรียน'!$C$5</f>
        <v/>
      </c>
      <c r="C11" s="973" t="n"/>
      <c r="D11" s="974" t="n"/>
      <c r="F11" s="975">
        <f>"โรงเรียน"&amp;'ข้อมูลโรงเรียน'!$C$5</f>
        <v/>
      </c>
      <c r="G11" s="976" t="n"/>
      <c r="H11" s="977" t="n"/>
      <c r="J11" s="761" t="inlineStr">
        <is>
          <t>🖨️ หน้าที่ต้องพิมพ์</t>
        </is>
      </c>
    </row>
    <row r="12" ht="34" customHeight="1">
      <c r="B12" s="978" t="inlineStr">
        <is>
          <t>บัตรประจำตัวนักเรียน</t>
        </is>
      </c>
      <c r="C12" s="950" t="n"/>
      <c r="D12" s="979" t="n"/>
      <c r="F12" s="980" t="inlineStr">
        <is>
          <t>บัตรประจำตัวนักเรียน</t>
        </is>
      </c>
      <c r="G12" s="950" t="n"/>
      <c r="H12" s="981" t="n"/>
      <c r="J12" s="762">
        <f>IF(COUNTIF('ข้อมูลนักเรียน'!$E$9:$E$13,"?*")=0,"ยังไม่มีรายชื่อนักเรียน","ห้องนี้มี "&amp;COUNTIF('ข้อมูลนักเรียน'!$E$9:$E$13,"?*")&amp;" คน  →  สั่งพิมพ์หน้า 1 ถึง "&amp;ROUNDUP(SUMPRODUCT(MAX(('ข้อมูลนักเรียน'!$E$9:$E$13&lt;&gt;"")*(ROW('ข้อมูลนักเรียน'!$E$9:$E$13)-8)))/8,0))</f>
        <v/>
      </c>
    </row>
    <row r="13" ht="15" customHeight="1">
      <c r="B13" s="982" t="inlineStr">
        <is>
          <t>รูปถ่าย
1 นิ้ว</t>
        </is>
      </c>
      <c r="C13" s="955" t="inlineStr">
        <is>
          <t>ชื่อ</t>
        </is>
      </c>
      <c r="D13" s="983">
        <f>'ข้อมูลนักเรียน'!T11&amp;""</f>
        <v/>
      </c>
      <c r="F13" s="984" t="inlineStr">
        <is>
          <t>รูปถ่าย
1 นิ้ว</t>
        </is>
      </c>
      <c r="G13" s="955" t="inlineStr">
        <is>
          <t>ชื่อ</t>
        </is>
      </c>
      <c r="H13" s="985">
        <f>'ข้อมูลนักเรียน'!T12&amp;""</f>
        <v/>
      </c>
      <c r="J13" s="763" t="inlineStr">
        <is>
          <t>(บัตร 8 ใบ / หน้า  •  ใน Ctrl + P เลือก “หน้า” แล้วใส่ช่วงหน้า)</t>
        </is>
      </c>
    </row>
    <row r="14" ht="15" customHeight="1">
      <c r="B14" s="986" t="n"/>
      <c r="C14" s="955" t="inlineStr">
        <is>
          <t>ชั้น / เลขที่</t>
        </is>
      </c>
      <c r="D14" s="987">
        <f>IF('ข้อมูลนักเรียน'!T11="","",'ข้อมูลโรงเรียน'!$C$7&amp;"/"&amp;'ข้อมูลโรงเรียน'!$C$8&amp;"  เลขที่ 3")</f>
        <v/>
      </c>
      <c r="F14" s="988" t="n"/>
      <c r="G14" s="955" t="inlineStr">
        <is>
          <t>ชั้น / เลขที่</t>
        </is>
      </c>
      <c r="H14" s="989">
        <f>IF('ข้อมูลนักเรียน'!T12="","",'ข้อมูลโรงเรียน'!$C$7&amp;"/"&amp;'ข้อมูลโรงเรียน'!$C$8&amp;"  เลขที่ 4")</f>
        <v/>
      </c>
    </row>
    <row r="15" ht="15" customHeight="1">
      <c r="B15" s="986" t="n"/>
      <c r="C15" s="955" t="inlineStr">
        <is>
          <t>เลขประจำตัว</t>
        </is>
      </c>
      <c r="D15" s="987">
        <f>'ข้อมูลนักเรียน'!B11&amp;""</f>
        <v/>
      </c>
      <c r="F15" s="988" t="n"/>
      <c r="G15" s="955" t="inlineStr">
        <is>
          <t>เลขประจำตัว</t>
        </is>
      </c>
      <c r="H15" s="989">
        <f>'ข้อมูลนักเรียน'!B12&amp;""</f>
        <v/>
      </c>
    </row>
    <row r="16" ht="15" customHeight="1">
      <c r="B16" s="986" t="n"/>
      <c r="C16" s="955" t="inlineStr">
        <is>
          <t>กรุ๊ปเลือด</t>
        </is>
      </c>
      <c r="D16" s="987">
        <f>'ข้อมูลนักเรียน'!L11&amp;""</f>
        <v/>
      </c>
      <c r="F16" s="988" t="n"/>
      <c r="G16" s="955" t="inlineStr">
        <is>
          <t>กรุ๊ปเลือด</t>
        </is>
      </c>
      <c r="H16" s="989">
        <f>'ข้อมูลนักเรียน'!L12&amp;""</f>
        <v/>
      </c>
    </row>
    <row r="17" ht="15" customHeight="1">
      <c r="B17" s="986" t="n"/>
      <c r="C17" s="955" t="inlineStr">
        <is>
          <t>แพ้ / โรค</t>
        </is>
      </c>
      <c r="D17" s="990">
        <f>IF('ข้อมูลนักเรียน'!M11="",IF('ข้อมูลนักเรียน'!T11="","","-"),'ข้อมูลนักเรียน'!M11)</f>
        <v/>
      </c>
      <c r="F17" s="988" t="n"/>
      <c r="G17" s="955" t="inlineStr">
        <is>
          <t>แพ้ / โรค</t>
        </is>
      </c>
      <c r="H17" s="991">
        <f>IF('ข้อมูลนักเรียน'!M12="",IF('ข้อมูลนักเรียน'!T12="","","-"),'ข้อมูลนักเรียน'!M12)</f>
        <v/>
      </c>
    </row>
    <row r="18" ht="15" customHeight="1">
      <c r="B18" s="986" t="n"/>
      <c r="C18" s="955" t="inlineStr">
        <is>
          <t>โทรผู้ปกครอง</t>
        </is>
      </c>
      <c r="D18" s="987">
        <f>'ข้อมูลนักเรียน'!P11&amp;""</f>
        <v/>
      </c>
      <c r="F18" s="988" t="n"/>
      <c r="G18" s="955" t="inlineStr">
        <is>
          <t>โทรผู้ปกครอง</t>
        </is>
      </c>
      <c r="H18" s="989">
        <f>'ข้อมูลนักเรียน'!P12&amp;""</f>
        <v/>
      </c>
    </row>
    <row r="19" ht="14" customHeight="1">
      <c r="B19" s="992">
        <f>"ปีการศึกษา "&amp;'ข้อมูลโรงเรียน'!$C$12</f>
        <v/>
      </c>
      <c r="C19" s="993" t="n"/>
      <c r="D19" s="994" t="n"/>
      <c r="F19" s="995">
        <f>"ปีการศึกษา "&amp;'ข้อมูลโรงเรียน'!$C$12</f>
        <v/>
      </c>
      <c r="G19" s="996" t="n"/>
      <c r="H19" s="997" t="n"/>
    </row>
    <row r="20" ht="12" customHeight="1"/>
    <row r="21" ht="17" customHeight="1">
      <c r="B21" s="998">
        <f>"โรงเรียน"&amp;'ข้อมูลโรงเรียน'!$C$5</f>
        <v/>
      </c>
      <c r="C21" s="999" t="n"/>
      <c r="D21" s="1000" t="n"/>
    </row>
    <row r="22">
      <c r="B22" s="1001" t="inlineStr">
        <is>
          <t>บัตรประจำตัวนักเรียน</t>
        </is>
      </c>
      <c r="C22" s="950" t="n"/>
      <c r="D22" s="1002" t="n"/>
    </row>
    <row r="23" ht="15" customHeight="1">
      <c r="B23" s="1003" t="inlineStr">
        <is>
          <t>รูปถ่าย
1 นิ้ว</t>
        </is>
      </c>
      <c r="C23" s="955" t="inlineStr">
        <is>
          <t>ชื่อ</t>
        </is>
      </c>
      <c r="D23" s="1004">
        <f>'ข้อมูลนักเรียน'!T13&amp;""</f>
        <v/>
      </c>
    </row>
    <row r="24" ht="15" customHeight="1">
      <c r="B24" s="1005" t="n"/>
      <c r="C24" s="955" t="inlineStr">
        <is>
          <t>ชั้น / เลขที่</t>
        </is>
      </c>
      <c r="D24" s="1006">
        <f>IF('ข้อมูลนักเรียน'!T13="","",'ข้อมูลโรงเรียน'!$C$7&amp;"/"&amp;'ข้อมูลโรงเรียน'!$C$8&amp;"  เลขที่ 5")</f>
        <v/>
      </c>
    </row>
    <row r="25" ht="15" customHeight="1">
      <c r="B25" s="1005" t="n"/>
      <c r="C25" s="955" t="inlineStr">
        <is>
          <t>เลขประจำตัว</t>
        </is>
      </c>
      <c r="D25" s="1006">
        <f>'ข้อมูลนักเรียน'!B13&amp;""</f>
        <v/>
      </c>
    </row>
    <row r="26" ht="15" customHeight="1">
      <c r="B26" s="1005" t="n"/>
      <c r="C26" s="955" t="inlineStr">
        <is>
          <t>กรุ๊ปเลือด</t>
        </is>
      </c>
      <c r="D26" s="1006">
        <f>'ข้อมูลนักเรียน'!L13&amp;""</f>
        <v/>
      </c>
    </row>
    <row r="27" ht="15" customHeight="1">
      <c r="B27" s="1005" t="n"/>
      <c r="C27" s="955" t="inlineStr">
        <is>
          <t>แพ้ / โรค</t>
        </is>
      </c>
      <c r="D27" s="1007">
        <f>IF('ข้อมูลนักเรียน'!M13="",IF('ข้อมูลนักเรียน'!T13="","","-"),'ข้อมูลนักเรียน'!M13)</f>
        <v/>
      </c>
    </row>
    <row r="28" ht="15" customHeight="1">
      <c r="B28" s="1005" t="n"/>
      <c r="C28" s="955" t="inlineStr">
        <is>
          <t>โทรผู้ปกครอง</t>
        </is>
      </c>
      <c r="D28" s="1006">
        <f>'ข้อมูลนักเรียน'!P13&amp;""</f>
        <v/>
      </c>
    </row>
    <row r="29" ht="14" customHeight="1">
      <c r="B29" s="1008">
        <f>"ปีการศึกษา "&amp;'ข้อมูลโรงเรียน'!$C$12</f>
        <v/>
      </c>
      <c r="C29" s="1009" t="n"/>
      <c r="D29" s="1010" t="n"/>
    </row>
    <row r="30" ht="12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0">
    <mergeCell ref="B11:D11"/>
    <mergeCell ref="B1:D1"/>
    <mergeCell ref="F2:H2"/>
    <mergeCell ref="B29:D29"/>
    <mergeCell ref="B19:D19"/>
    <mergeCell ref="B3:B8"/>
    <mergeCell ref="F3:F8"/>
    <mergeCell ref="B9:D9"/>
    <mergeCell ref="F9:H9"/>
    <mergeCell ref="B23:B28"/>
    <mergeCell ref="B13:B18"/>
    <mergeCell ref="F1:H1"/>
    <mergeCell ref="F11:H11"/>
    <mergeCell ref="F13:F18"/>
    <mergeCell ref="F19:H19"/>
    <mergeCell ref="B22:D22"/>
    <mergeCell ref="B21:D21"/>
    <mergeCell ref="F12:H12"/>
    <mergeCell ref="B12:D12"/>
    <mergeCell ref="B2:D2"/>
  </mergeCells>
  <hyperlinks>
    <hyperlink ref="J9" location="'หน้าหลัก'!A1" display="🏠 กลับหน้าหลัก"/>
  </hyperlinks>
  <printOptions horizontalCentered="1"/>
  <pageMargins left="0.5" right="0.5" top="1" bottom="1" header="0.5" footer="0.5"/>
  <pageSetup orientation="portrait" paperSize="9" scale="100"/>
</worksheet>
</file>

<file path=xl/worksheets/sheet51.xml><?xml version="1.0" encoding="utf-8"?>
<worksheet xmlns="http://schemas.openxmlformats.org/spreadsheetml/2006/main">
  <sheetPr>
    <tabColor rgb="00FDD65E"/>
    <outlinePr summaryBelow="1" summaryRight="1"/>
    <pageSetUpPr fitToPage="1"/>
  </sheetPr>
  <dimension ref="A1:O30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3" customWidth="1" min="12" max="12"/>
    <col width="3" customWidth="1" min="13" max="13"/>
    <col width="14" customWidth="1" min="14" max="14"/>
    <col width="36" customWidth="1" min="15" max="15"/>
  </cols>
  <sheetData>
    <row r="1" ht="18" customHeight="1">
      <c r="A1" s="1011" t="n"/>
      <c r="B1" s="1012" t="n"/>
      <c r="C1" s="1012" t="n"/>
      <c r="D1" s="1012" t="n"/>
      <c r="E1" s="1012" t="n"/>
      <c r="F1" s="1012" t="n"/>
      <c r="G1" s="1012" t="n"/>
      <c r="H1" s="1012" t="n"/>
      <c r="I1" s="1012" t="n"/>
      <c r="J1" s="1012" t="n"/>
      <c r="K1" s="1012" t="n"/>
      <c r="L1" s="1013" t="n"/>
      <c r="N1" s="918" t="inlineStr">
        <is>
          <t>ตั้งค่าเกียรติบัตร</t>
        </is>
      </c>
    </row>
    <row r="2" ht="18" customHeight="1">
      <c r="A2" s="1014" t="n"/>
      <c r="B2" s="1015" t="n"/>
      <c r="C2" s="1016" t="n"/>
      <c r="D2" s="1016" t="n"/>
      <c r="E2" s="1016" t="n"/>
      <c r="F2" s="1016" t="n"/>
      <c r="G2" s="1016" t="n"/>
      <c r="H2" s="1016" t="n"/>
      <c r="I2" s="1016" t="n"/>
      <c r="J2" s="1016" t="n"/>
      <c r="K2" s="1017" t="n"/>
      <c r="L2" s="1018" t="n"/>
    </row>
    <row r="3" ht="18" customHeight="1">
      <c r="A3" s="1014" t="n"/>
      <c r="B3" s="1019" t="n"/>
      <c r="C3" s="1020" t="n"/>
      <c r="D3" s="1020" t="n"/>
      <c r="E3" s="1020" t="n"/>
      <c r="F3" s="1020" t="n"/>
      <c r="G3" s="1020" t="n"/>
      <c r="H3" s="1020" t="n"/>
      <c r="I3" s="1020" t="n"/>
      <c r="J3" s="1020" t="n"/>
      <c r="K3" s="1021" t="n"/>
      <c r="L3" s="1018" t="n"/>
      <c r="N3" s="1022" t="inlineStr">
        <is>
          <t>เลขที่นักเรียน</t>
        </is>
      </c>
      <c r="O3" s="1023" t="n">
        <v>1</v>
      </c>
    </row>
    <row r="4" ht="26" customHeight="1">
      <c r="A4" s="1014" t="n"/>
      <c r="B4" s="1024">
        <f>"โรงเรียน"&amp;'ข้อมูลโรงเรียน'!$C$5</f>
        <v/>
      </c>
      <c r="K4" s="1025" t="n"/>
      <c r="L4" s="1018" t="n"/>
      <c r="N4" s="1022" t="inlineStr">
        <is>
          <t>ชื่อรางวัล</t>
        </is>
      </c>
      <c r="O4" s="1023" t="inlineStr">
        <is>
          <t>นักเรียนมาเรียนดีเด่น</t>
        </is>
      </c>
    </row>
    <row r="5" ht="18" customHeight="1">
      <c r="A5" s="1014" t="n"/>
      <c r="B5" s="1026">
        <f>IF('ข้อมูลโรงเรียน'!$C$6="","",'ข้อมูลโรงเรียน'!$C$6)</f>
        <v/>
      </c>
      <c r="K5" s="1025" t="n"/>
      <c r="L5" s="1018" t="n"/>
      <c r="N5" s="1022" t="inlineStr">
        <is>
          <t>รายละเอียด</t>
        </is>
      </c>
      <c r="O5" s="1023" t="inlineStr">
        <is>
          <t>ประจำภาคเรียนที่ 1 ปีการศึกษา 2569</t>
        </is>
      </c>
    </row>
    <row r="6" ht="18" customHeight="1">
      <c r="A6" s="1014" t="n"/>
      <c r="B6" s="1019" t="n"/>
      <c r="C6" s="1020" t="n"/>
      <c r="D6" s="1020" t="n"/>
      <c r="E6" s="1020" t="n"/>
      <c r="F6" s="1020" t="n"/>
      <c r="G6" s="1020" t="n"/>
      <c r="H6" s="1020" t="n"/>
      <c r="I6" s="1020" t="n"/>
      <c r="J6" s="1020" t="n"/>
      <c r="K6" s="1021" t="n"/>
      <c r="L6" s="1018" t="n"/>
      <c r="N6" s="1022" t="inlineStr">
        <is>
          <t>ให้ไว้ ณ วันที่</t>
        </is>
      </c>
      <c r="O6" s="1023" t="inlineStr">
        <is>
          <t>30 กันยายน 2569</t>
        </is>
      </c>
    </row>
    <row r="7" ht="52" customHeight="1">
      <c r="A7" s="1014" t="n"/>
      <c r="B7" s="1027" t="inlineStr">
        <is>
          <t>เกียรติบัตร</t>
        </is>
      </c>
      <c r="K7" s="1025" t="n"/>
      <c r="L7" s="1018" t="n"/>
      <c r="N7" s="1022" t="inlineStr">
        <is>
          <t>ข้อความนำ</t>
        </is>
      </c>
      <c r="O7" s="1023" t="inlineStr">
        <is>
          <t>ได้รับเกียรติบัตรฉบับนี้เพื่อแสดงว่า</t>
        </is>
      </c>
    </row>
    <row r="8" ht="18" customHeight="1">
      <c r="A8" s="1014" t="n"/>
      <c r="B8" s="1019" t="n"/>
      <c r="C8" s="1020" t="n"/>
      <c r="D8" s="1020" t="n"/>
      <c r="E8" s="1020" t="n"/>
      <c r="F8" s="1020" t="n"/>
      <c r="G8" s="1020" t="n"/>
      <c r="H8" s="1020" t="n"/>
      <c r="I8" s="1020" t="n"/>
      <c r="J8" s="1020" t="n"/>
      <c r="K8" s="1021" t="n"/>
      <c r="L8" s="1018" t="n"/>
      <c r="N8" s="189" t="inlineStr"/>
    </row>
    <row r="9" ht="22" customHeight="1">
      <c r="A9" s="1014" t="n"/>
      <c r="B9" s="1028">
        <f>'เกียรติบัตร'!$O$7&amp;""</f>
        <v/>
      </c>
      <c r="K9" s="1025" t="n"/>
      <c r="L9" s="1018" t="n"/>
      <c r="N9" s="189" t="inlineStr">
        <is>
          <t>• หน้านี้พิมพ์ทีละคน (A4 แนวนอน)</t>
        </is>
      </c>
    </row>
    <row r="10" ht="18" customHeight="1">
      <c r="A10" s="1014" t="n"/>
      <c r="B10" s="1019" t="n"/>
      <c r="C10" s="1020" t="n"/>
      <c r="D10" s="1020" t="n"/>
      <c r="E10" s="1020" t="n"/>
      <c r="F10" s="1020" t="n"/>
      <c r="G10" s="1020" t="n"/>
      <c r="H10" s="1020" t="n"/>
      <c r="I10" s="1020" t="n"/>
      <c r="J10" s="1020" t="n"/>
      <c r="K10" s="1021" t="n"/>
      <c r="L10" s="1018" t="n"/>
      <c r="N10" s="189" t="inlineStr">
        <is>
          <t>• พิมพ์ทั้งห้องที่หน้า “เกียรติบัตร-ทั้งห้อง”</t>
        </is>
      </c>
    </row>
    <row r="11" ht="44" customHeight="1">
      <c r="A11" s="1014" t="n"/>
      <c r="B11" s="1029">
        <f>IF(INDEX('ข้อมูลนักเรียน'!$T$9:$T$13,$O$3)="","..................................................",INDEX('ข้อมูลนักเรียน'!$T$9:$T$13,$O$3))</f>
        <v/>
      </c>
      <c r="K11" s="1025" t="n"/>
      <c r="L11" s="1018" t="n"/>
      <c r="N11" s="189" t="inlineStr">
        <is>
          <t xml:space="preserve">  (ใช้ชื่อรางวัล/รายละเอียดเดียวกัน)</t>
        </is>
      </c>
    </row>
    <row r="12" ht="18" customHeight="1">
      <c r="A12" s="1014" t="n"/>
      <c r="B12" s="1019" t="n"/>
      <c r="C12" s="1020" t="n"/>
      <c r="D12" s="1020" t="n"/>
      <c r="E12" s="1020" t="n"/>
      <c r="F12" s="1020" t="n"/>
      <c r="G12" s="1020" t="n"/>
      <c r="H12" s="1020" t="n"/>
      <c r="I12" s="1020" t="n"/>
      <c r="J12" s="1020" t="n"/>
      <c r="K12" s="1021" t="n"/>
      <c r="L12" s="1018" t="n"/>
      <c r="N12" s="189" t="inlineStr">
        <is>
          <t>• เหมาะกับ: จบการศึกษา, มาเรียนดีเด่น,</t>
        </is>
      </c>
    </row>
    <row r="13" ht="18" customHeight="1">
      <c r="A13" s="1014" t="n"/>
      <c r="B13" s="1030">
        <f>"นักเรียนชั้น"&amp;'ข้อมูลโรงเรียน'!$C$7&amp;"/"&amp;'ข้อมูลโรงเรียน'!$C$8</f>
        <v/>
      </c>
      <c r="K13" s="1025" t="n"/>
      <c r="L13" s="1018" t="n"/>
      <c r="N13" s="189" t="inlineStr">
        <is>
          <t xml:space="preserve">  เด็กดีมีน้ำใจ, ออมดีเด่น ฯลฯ</t>
        </is>
      </c>
    </row>
    <row r="14" ht="18" customHeight="1">
      <c r="A14" s="1014" t="n"/>
      <c r="B14" s="1019" t="n"/>
      <c r="C14" s="1020" t="n"/>
      <c r="D14" s="1020" t="n"/>
      <c r="E14" s="1020" t="n"/>
      <c r="F14" s="1020" t="n"/>
      <c r="G14" s="1020" t="n"/>
      <c r="H14" s="1020" t="n"/>
      <c r="I14" s="1020" t="n"/>
      <c r="J14" s="1020" t="n"/>
      <c r="K14" s="1021" t="n"/>
      <c r="L14" s="1018" t="n"/>
    </row>
    <row r="15" ht="36" customHeight="1">
      <c r="A15" s="1014" t="n"/>
      <c r="B15" s="1031">
        <f>'เกียรติบัตร'!$O$4&amp;""</f>
        <v/>
      </c>
      <c r="K15" s="1025" t="n"/>
      <c r="L15" s="1018" t="n"/>
      <c r="N15" s="931" t="inlineStr">
        <is>
          <t>🏠 กลับหน้าหลัก</t>
        </is>
      </c>
    </row>
    <row r="16" ht="18" customHeight="1">
      <c r="A16" s="1014" t="n"/>
      <c r="B16" s="1019" t="n"/>
      <c r="C16" s="1020" t="n"/>
      <c r="D16" s="1020" t="n"/>
      <c r="E16" s="1020" t="n"/>
      <c r="F16" s="1020" t="n"/>
      <c r="G16" s="1020" t="n"/>
      <c r="H16" s="1020" t="n"/>
      <c r="I16" s="1020" t="n"/>
      <c r="J16" s="1020" t="n"/>
      <c r="K16" s="1021" t="n"/>
      <c r="L16" s="1018" t="n"/>
    </row>
    <row r="17" ht="22" customHeight="1">
      <c r="A17" s="1014" t="n"/>
      <c r="B17" s="1028">
        <f>'เกียรติบัตร'!$O$5&amp;""</f>
        <v/>
      </c>
      <c r="K17" s="1025" t="n"/>
      <c r="L17" s="1018" t="n"/>
    </row>
    <row r="18" ht="18" customHeight="1">
      <c r="A18" s="1014" t="n"/>
      <c r="B18" s="1019" t="n"/>
      <c r="C18" s="1020" t="n"/>
      <c r="D18" s="1020" t="n"/>
      <c r="E18" s="1020" t="n"/>
      <c r="F18" s="1020" t="n"/>
      <c r="G18" s="1020" t="n"/>
      <c r="H18" s="1020" t="n"/>
      <c r="I18" s="1020" t="n"/>
      <c r="J18" s="1020" t="n"/>
      <c r="K18" s="1021" t="n"/>
      <c r="L18" s="1018" t="n"/>
    </row>
    <row r="19" ht="18" customHeight="1">
      <c r="A19" s="1014" t="n"/>
      <c r="B19" s="1032">
        <f>"ขอให้มีความสุข ความเจริญ และเป็นเด็กดีของพ่อแม่และครูตลอดไป"</f>
        <v/>
      </c>
      <c r="K19" s="1025" t="n"/>
      <c r="L19" s="1018" t="n"/>
    </row>
    <row r="20" ht="18" customHeight="1">
      <c r="A20" s="1014" t="n"/>
      <c r="B20" s="1019" t="n"/>
      <c r="C20" s="1020" t="n"/>
      <c r="D20" s="1020" t="n"/>
      <c r="E20" s="1020" t="n"/>
      <c r="F20" s="1020" t="n"/>
      <c r="G20" s="1020" t="n"/>
      <c r="H20" s="1020" t="n"/>
      <c r="I20" s="1020" t="n"/>
      <c r="J20" s="1020" t="n"/>
      <c r="K20" s="1021" t="n"/>
      <c r="L20" s="1018" t="n"/>
    </row>
    <row r="21" ht="22" customHeight="1">
      <c r="A21" s="1014" t="n"/>
      <c r="B21" s="1033">
        <f>"ให้ไว้ ณ วันที่ "&amp;'เกียรติบัตร'!$O$6</f>
        <v/>
      </c>
      <c r="K21" s="1025" t="n"/>
      <c r="L21" s="1018" t="n"/>
    </row>
    <row r="22" ht="18" customHeight="1">
      <c r="A22" s="1014" t="n"/>
      <c r="B22" s="1019" t="n"/>
      <c r="C22" s="1020" t="n"/>
      <c r="D22" s="1020" t="n"/>
      <c r="E22" s="1020" t="n"/>
      <c r="F22" s="1020" t="n"/>
      <c r="G22" s="1020" t="n"/>
      <c r="H22" s="1020" t="n"/>
      <c r="I22" s="1020" t="n"/>
      <c r="J22" s="1020" t="n"/>
      <c r="K22" s="1021" t="n"/>
      <c r="L22" s="1018" t="n"/>
    </row>
    <row r="23" ht="18" customHeight="1">
      <c r="A23" s="1014" t="n"/>
      <c r="B23" s="1019" t="n"/>
      <c r="C23" s="1020" t="n"/>
      <c r="D23" s="1020" t="n"/>
      <c r="E23" s="1020" t="n"/>
      <c r="F23" s="1020" t="n"/>
      <c r="G23" s="1020" t="n"/>
      <c r="H23" s="1020" t="n"/>
      <c r="I23" s="1020" t="n"/>
      <c r="J23" s="1020" t="n"/>
      <c r="K23" s="1021" t="n"/>
      <c r="L23" s="1018" t="n"/>
    </row>
    <row r="24" ht="18" customHeight="1">
      <c r="A24" s="1014" t="n"/>
      <c r="B24" s="1034" t="inlineStr">
        <is>
          <t>..................................................</t>
        </is>
      </c>
      <c r="F24" s="1020" t="n"/>
      <c r="G24" s="1020" t="n"/>
      <c r="H24" s="1035" t="inlineStr">
        <is>
          <t>..................................................</t>
        </is>
      </c>
      <c r="K24" s="1025" t="n"/>
      <c r="L24" s="1018" t="n"/>
    </row>
    <row r="25" ht="18" customHeight="1">
      <c r="A25" s="1014" t="n"/>
      <c r="B25" s="1034">
        <f>"( "&amp;IF('ข้อมูลโรงเรียน'!$C$9="","..................................................",'ข้อมูลโรงเรียน'!$C$9)&amp;" )"</f>
        <v/>
      </c>
      <c r="F25" s="1020" t="n"/>
      <c r="G25" s="1020" t="n"/>
      <c r="H25" s="1035">
        <f>"( "&amp;IF('ข้อมูลโรงเรียน'!$C$11="","..................................................",'ข้อมูลโรงเรียน'!$C$11)&amp;" )"</f>
        <v/>
      </c>
      <c r="K25" s="1025" t="n"/>
      <c r="L25" s="1018" t="n"/>
    </row>
    <row r="26" ht="18" customHeight="1">
      <c r="A26" s="1014" t="n"/>
      <c r="B26" s="1036" t="inlineStr">
        <is>
          <t>ครูประจำชั้น</t>
        </is>
      </c>
      <c r="F26" s="1020" t="n"/>
      <c r="G26" s="1020" t="n"/>
      <c r="H26" s="1037" t="inlineStr">
        <is>
          <t>ผู้บริหารสถานศึกษา</t>
        </is>
      </c>
      <c r="K26" s="1025" t="n"/>
      <c r="L26" s="1018" t="n"/>
    </row>
    <row r="27" ht="18" customHeight="1">
      <c r="A27" s="1014" t="n"/>
      <c r="B27" s="1019" t="n"/>
      <c r="C27" s="1020" t="n"/>
      <c r="D27" s="1020" t="n"/>
      <c r="E27" s="1020" t="n"/>
      <c r="F27" s="1020" t="n"/>
      <c r="G27" s="1020" t="n"/>
      <c r="H27" s="1020" t="n"/>
      <c r="I27" s="1020" t="n"/>
      <c r="J27" s="1020" t="n"/>
      <c r="K27" s="1021" t="n"/>
      <c r="L27" s="1018" t="n"/>
    </row>
    <row r="28" ht="18" customHeight="1">
      <c r="A28" s="1014" t="n"/>
      <c r="B28" s="1019" t="n"/>
      <c r="C28" s="1020" t="n"/>
      <c r="D28" s="1020" t="n"/>
      <c r="E28" s="1020" t="n"/>
      <c r="F28" s="1020" t="n"/>
      <c r="G28" s="1020" t="n"/>
      <c r="H28" s="1020" t="n"/>
      <c r="I28" s="1020" t="n"/>
      <c r="J28" s="1020" t="n"/>
      <c r="K28" s="1021" t="n"/>
      <c r="L28" s="1018" t="n"/>
    </row>
    <row r="29" ht="18" customHeight="1">
      <c r="A29" s="1014" t="n"/>
      <c r="B29" s="1038" t="n"/>
      <c r="C29" s="1039" t="n"/>
      <c r="D29" s="1039" t="n"/>
      <c r="E29" s="1039" t="n"/>
      <c r="F29" s="1039" t="n"/>
      <c r="G29" s="1039" t="n"/>
      <c r="H29" s="1039" t="n"/>
      <c r="I29" s="1039" t="n"/>
      <c r="J29" s="1039" t="n"/>
      <c r="K29" s="1040" t="n"/>
      <c r="L29" s="1018" t="n"/>
    </row>
    <row r="30" ht="18" customHeight="1">
      <c r="A30" s="1041" t="n"/>
      <c r="B30" s="1042" t="n"/>
      <c r="C30" s="1042" t="n"/>
      <c r="D30" s="1042" t="n"/>
      <c r="E30" s="1042" t="n"/>
      <c r="F30" s="1042" t="n"/>
      <c r="G30" s="1042" t="n"/>
      <c r="H30" s="1042" t="n"/>
      <c r="I30" s="1042" t="n"/>
      <c r="J30" s="1042" t="n"/>
      <c r="K30" s="1042" t="n"/>
      <c r="L30" s="104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6">
    <mergeCell ref="B26:E26"/>
    <mergeCell ref="B4:K4"/>
    <mergeCell ref="B17:K17"/>
    <mergeCell ref="B9:K9"/>
    <mergeCell ref="B13:K13"/>
    <mergeCell ref="H25:K25"/>
    <mergeCell ref="H26:K26"/>
    <mergeCell ref="B21:K21"/>
    <mergeCell ref="B15:K15"/>
    <mergeCell ref="B7:K7"/>
    <mergeCell ref="B25:E25"/>
    <mergeCell ref="B24:E24"/>
    <mergeCell ref="H24:K24"/>
    <mergeCell ref="B19:K19"/>
    <mergeCell ref="B11:K11"/>
    <mergeCell ref="B5:K5"/>
  </mergeCells>
  <dataValidations count="1">
    <dataValidation sqref="O3" showDropDown="0" showInputMessage="0" showErrorMessage="0" allowBlank="1" errorTitle="ตรวจสอบข้อมูล" error="ข้อมูลไม่ถูกต้อง กรุณาเลือกจากรายการ" type="whole" operator="between">
      <formula1>1</formula1>
      <formula2>5</formula2>
    </dataValidation>
  </dataValidations>
  <hyperlinks>
    <hyperlink ref="N15" location="'หน้าหลัก'!A1" display="🏠 กลับหน้าหลัก"/>
  </hyperlinks>
  <printOptions horizontalCentered="1" vertic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52.xml><?xml version="1.0" encoding="utf-8"?>
<worksheet xmlns="http://schemas.openxmlformats.org/spreadsheetml/2006/main">
  <sheetPr>
    <tabColor rgb="00FDD65E"/>
    <outlinePr summaryBelow="1" summaryRight="1"/>
    <pageSetUpPr/>
  </sheetPr>
  <dimension ref="A1:N150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3" customWidth="1" min="12" max="12"/>
    <col width="42" customWidth="1" min="14" max="14"/>
  </cols>
  <sheetData>
    <row r="1" ht="18" customHeight="1">
      <c r="A1" s="1011" t="n"/>
      <c r="B1" s="1012" t="n"/>
      <c r="C1" s="1012" t="n"/>
      <c r="D1" s="1012" t="n"/>
      <c r="E1" s="1012" t="n"/>
      <c r="F1" s="1012" t="n"/>
      <c r="G1" s="1012" t="n"/>
      <c r="H1" s="1012" t="n"/>
      <c r="I1" s="1012" t="n"/>
      <c r="J1" s="1012" t="n"/>
      <c r="K1" s="1012" t="n"/>
      <c r="L1" s="1013" t="n"/>
      <c r="N1" s="761" t="inlineStr">
        <is>
          <t>🖨️ หน้าที่ต้องพิมพ์</t>
        </is>
      </c>
    </row>
    <row r="2" ht="34" customHeight="1">
      <c r="A2" s="1014" t="n"/>
      <c r="B2" s="1015" t="n"/>
      <c r="C2" s="1016" t="n"/>
      <c r="D2" s="1016" t="n"/>
      <c r="E2" s="1016" t="n"/>
      <c r="F2" s="1016" t="n"/>
      <c r="G2" s="1016" t="n"/>
      <c r="H2" s="1016" t="n"/>
      <c r="I2" s="1016" t="n"/>
      <c r="J2" s="1016" t="n"/>
      <c r="K2" s="1017" t="n"/>
      <c r="L2" s="1018" t="n"/>
      <c r="N2" s="762">
        <f>IF(COUNTIF('ข้อมูลนักเรียน'!$E$9:$E$13,"?*")=0,"ยังไม่มีรายชื่อนักเรียน","ห้องนี้มี "&amp;COUNTIF('ข้อมูลนักเรียน'!$E$9:$E$13,"?*")&amp;" คน  →  สั่งพิมพ์หน้า 1 ถึง "&amp;ROUNDUP(SUMPRODUCT(MAX(('ข้อมูลนักเรียน'!$E$9:$E$13&lt;&gt;"")*(ROW('ข้อมูลนักเรียน'!$E$9:$E$13)-8)))/1,0))</f>
        <v/>
      </c>
    </row>
    <row r="3" ht="18" customHeight="1">
      <c r="A3" s="1014" t="n"/>
      <c r="B3" s="1019" t="n"/>
      <c r="C3" s="1020" t="n"/>
      <c r="D3" s="1020" t="n"/>
      <c r="E3" s="1020" t="n"/>
      <c r="F3" s="1020" t="n"/>
      <c r="G3" s="1020" t="n"/>
      <c r="H3" s="1020" t="n"/>
      <c r="I3" s="1020" t="n"/>
      <c r="J3" s="1020" t="n"/>
      <c r="K3" s="1021" t="n"/>
      <c r="L3" s="1018" t="n"/>
      <c r="N3" s="763" t="inlineStr">
        <is>
          <t>(เกียรติบัตร 1 คน / หน้า  •  ใน Ctrl + P เลือก “หน้า” แล้วใส่ช่วงหน้า)</t>
        </is>
      </c>
    </row>
    <row r="4" ht="26" customHeight="1">
      <c r="A4" s="1014" t="n"/>
      <c r="B4" s="1024">
        <f>"โรงเรียน"&amp;'ข้อมูลโรงเรียน'!$C$5</f>
        <v/>
      </c>
      <c r="K4" s="1025" t="n"/>
      <c r="L4" s="1018" t="n"/>
    </row>
    <row r="5" ht="18" customHeight="1">
      <c r="A5" s="1014" t="n"/>
      <c r="B5" s="1026">
        <f>IF('ข้อมูลโรงเรียน'!$C$6="","",'ข้อมูลโรงเรียน'!$C$6)</f>
        <v/>
      </c>
      <c r="K5" s="1025" t="n"/>
      <c r="L5" s="1018" t="n"/>
    </row>
    <row r="6" ht="18" customHeight="1">
      <c r="A6" s="1014" t="n"/>
      <c r="B6" s="1019" t="n"/>
      <c r="C6" s="1020" t="n"/>
      <c r="D6" s="1020" t="n"/>
      <c r="E6" s="1020" t="n"/>
      <c r="F6" s="1020" t="n"/>
      <c r="G6" s="1020" t="n"/>
      <c r="H6" s="1020" t="n"/>
      <c r="I6" s="1020" t="n"/>
      <c r="J6" s="1020" t="n"/>
      <c r="K6" s="1021" t="n"/>
      <c r="L6" s="1018" t="n"/>
    </row>
    <row r="7" ht="52" customHeight="1">
      <c r="A7" s="1014" t="n"/>
      <c r="B7" s="1027" t="inlineStr">
        <is>
          <t>เกียรติบัตร</t>
        </is>
      </c>
      <c r="K7" s="1025" t="n"/>
      <c r="L7" s="1018" t="n"/>
    </row>
    <row r="8" ht="18" customHeight="1">
      <c r="A8" s="1014" t="n"/>
      <c r="B8" s="1019" t="n"/>
      <c r="C8" s="1020" t="n"/>
      <c r="D8" s="1020" t="n"/>
      <c r="E8" s="1020" t="n"/>
      <c r="F8" s="1020" t="n"/>
      <c r="G8" s="1020" t="n"/>
      <c r="H8" s="1020" t="n"/>
      <c r="I8" s="1020" t="n"/>
      <c r="J8" s="1020" t="n"/>
      <c r="K8" s="1021" t="n"/>
      <c r="L8" s="1018" t="n"/>
    </row>
    <row r="9" ht="22" customHeight="1">
      <c r="A9" s="1014" t="n"/>
      <c r="B9" s="1028">
        <f>'เกียรติบัตร'!$O$7&amp;""</f>
        <v/>
      </c>
      <c r="K9" s="1025" t="n"/>
      <c r="L9" s="1018" t="n"/>
    </row>
    <row r="10" ht="18" customHeight="1">
      <c r="A10" s="1014" t="n"/>
      <c r="B10" s="1019" t="n"/>
      <c r="C10" s="1020" t="n"/>
      <c r="D10" s="1020" t="n"/>
      <c r="E10" s="1020" t="n"/>
      <c r="F10" s="1020" t="n"/>
      <c r="G10" s="1020" t="n"/>
      <c r="H10" s="1020" t="n"/>
      <c r="I10" s="1020" t="n"/>
      <c r="J10" s="1020" t="n"/>
      <c r="K10" s="1021" t="n"/>
      <c r="L10" s="1018" t="n"/>
    </row>
    <row r="11" ht="44" customHeight="1">
      <c r="A11" s="1014" t="n"/>
      <c r="B11" s="1029">
        <f>IF(INDEX('ข้อมูลนักเรียน'!$T$9:$T$13,1)="","..................................................",INDEX('ข้อมูลนักเรียน'!$T$9:$T$13,1))</f>
        <v/>
      </c>
      <c r="K11" s="1025" t="n"/>
      <c r="L11" s="1018" t="n"/>
    </row>
    <row r="12" ht="18" customHeight="1">
      <c r="A12" s="1014" t="n"/>
      <c r="B12" s="1019" t="n"/>
      <c r="C12" s="1020" t="n"/>
      <c r="D12" s="1020" t="n"/>
      <c r="E12" s="1020" t="n"/>
      <c r="F12" s="1020" t="n"/>
      <c r="G12" s="1020" t="n"/>
      <c r="H12" s="1020" t="n"/>
      <c r="I12" s="1020" t="n"/>
      <c r="J12" s="1020" t="n"/>
      <c r="K12" s="1021" t="n"/>
      <c r="L12" s="1018" t="n"/>
    </row>
    <row r="13" ht="18" customHeight="1">
      <c r="A13" s="1014" t="n"/>
      <c r="B13" s="1030">
        <f>"นักเรียนชั้น"&amp;'ข้อมูลโรงเรียน'!$C$7&amp;"/"&amp;'ข้อมูลโรงเรียน'!$C$8</f>
        <v/>
      </c>
      <c r="K13" s="1025" t="n"/>
      <c r="L13" s="1018" t="n"/>
    </row>
    <row r="14" ht="18" customHeight="1">
      <c r="A14" s="1014" t="n"/>
      <c r="B14" s="1019" t="n"/>
      <c r="C14" s="1020" t="n"/>
      <c r="D14" s="1020" t="n"/>
      <c r="E14" s="1020" t="n"/>
      <c r="F14" s="1020" t="n"/>
      <c r="G14" s="1020" t="n"/>
      <c r="H14" s="1020" t="n"/>
      <c r="I14" s="1020" t="n"/>
      <c r="J14" s="1020" t="n"/>
      <c r="K14" s="1021" t="n"/>
      <c r="L14" s="1018" t="n"/>
    </row>
    <row r="15" ht="36" customHeight="1">
      <c r="A15" s="1014" t="n"/>
      <c r="B15" s="1031">
        <f>'เกียรติบัตร'!$O$4&amp;""</f>
        <v/>
      </c>
      <c r="K15" s="1025" t="n"/>
      <c r="L15" s="1018" t="n"/>
    </row>
    <row r="16" ht="18" customHeight="1">
      <c r="A16" s="1014" t="n"/>
      <c r="B16" s="1019" t="n"/>
      <c r="C16" s="1020" t="n"/>
      <c r="D16" s="1020" t="n"/>
      <c r="E16" s="1020" t="n"/>
      <c r="F16" s="1020" t="n"/>
      <c r="G16" s="1020" t="n"/>
      <c r="H16" s="1020" t="n"/>
      <c r="I16" s="1020" t="n"/>
      <c r="J16" s="1020" t="n"/>
      <c r="K16" s="1021" t="n"/>
      <c r="L16" s="1018" t="n"/>
    </row>
    <row r="17" ht="22" customHeight="1">
      <c r="A17" s="1014" t="n"/>
      <c r="B17" s="1028">
        <f>'เกียรติบัตร'!$O$5&amp;""</f>
        <v/>
      </c>
      <c r="K17" s="1025" t="n"/>
      <c r="L17" s="1018" t="n"/>
    </row>
    <row r="18" ht="18" customHeight="1">
      <c r="A18" s="1014" t="n"/>
      <c r="B18" s="1019" t="n"/>
      <c r="C18" s="1020" t="n"/>
      <c r="D18" s="1020" t="n"/>
      <c r="E18" s="1020" t="n"/>
      <c r="F18" s="1020" t="n"/>
      <c r="G18" s="1020" t="n"/>
      <c r="H18" s="1020" t="n"/>
      <c r="I18" s="1020" t="n"/>
      <c r="J18" s="1020" t="n"/>
      <c r="K18" s="1021" t="n"/>
      <c r="L18" s="1018" t="n"/>
    </row>
    <row r="19" ht="18" customHeight="1">
      <c r="A19" s="1014" t="n"/>
      <c r="B19" s="1032">
        <f>"ขอให้มีความสุข ความเจริญ และเป็นเด็กดีของพ่อแม่และครูตลอดไป"</f>
        <v/>
      </c>
      <c r="K19" s="1025" t="n"/>
      <c r="L19" s="1018" t="n"/>
    </row>
    <row r="20" ht="18" customHeight="1">
      <c r="A20" s="1014" t="n"/>
      <c r="B20" s="1019" t="n"/>
      <c r="C20" s="1020" t="n"/>
      <c r="D20" s="1020" t="n"/>
      <c r="E20" s="1020" t="n"/>
      <c r="F20" s="1020" t="n"/>
      <c r="G20" s="1020" t="n"/>
      <c r="H20" s="1020" t="n"/>
      <c r="I20" s="1020" t="n"/>
      <c r="J20" s="1020" t="n"/>
      <c r="K20" s="1021" t="n"/>
      <c r="L20" s="1018" t="n"/>
    </row>
    <row r="21" ht="22" customHeight="1">
      <c r="A21" s="1014" t="n"/>
      <c r="B21" s="1033">
        <f>"ให้ไว้ ณ วันที่ "&amp;'เกียรติบัตร'!$O$6</f>
        <v/>
      </c>
      <c r="K21" s="1025" t="n"/>
      <c r="L21" s="1018" t="n"/>
    </row>
    <row r="22" ht="18" customHeight="1">
      <c r="A22" s="1014" t="n"/>
      <c r="B22" s="1019" t="n"/>
      <c r="C22" s="1020" t="n"/>
      <c r="D22" s="1020" t="n"/>
      <c r="E22" s="1020" t="n"/>
      <c r="F22" s="1020" t="n"/>
      <c r="G22" s="1020" t="n"/>
      <c r="H22" s="1020" t="n"/>
      <c r="I22" s="1020" t="n"/>
      <c r="J22" s="1020" t="n"/>
      <c r="K22" s="1021" t="n"/>
      <c r="L22" s="1018" t="n"/>
    </row>
    <row r="23" ht="18" customHeight="1">
      <c r="A23" s="1014" t="n"/>
      <c r="B23" s="1019" t="n"/>
      <c r="C23" s="1020" t="n"/>
      <c r="D23" s="1020" t="n"/>
      <c r="E23" s="1020" t="n"/>
      <c r="F23" s="1020" t="n"/>
      <c r="G23" s="1020" t="n"/>
      <c r="H23" s="1020" t="n"/>
      <c r="I23" s="1020" t="n"/>
      <c r="J23" s="1020" t="n"/>
      <c r="K23" s="1021" t="n"/>
      <c r="L23" s="1018" t="n"/>
    </row>
    <row r="24" ht="18" customHeight="1">
      <c r="A24" s="1014" t="n"/>
      <c r="B24" s="1034" t="inlineStr">
        <is>
          <t>..................................................</t>
        </is>
      </c>
      <c r="F24" s="1020" t="n"/>
      <c r="G24" s="1020" t="n"/>
      <c r="H24" s="1035" t="inlineStr">
        <is>
          <t>..................................................</t>
        </is>
      </c>
      <c r="K24" s="1025" t="n"/>
      <c r="L24" s="1018" t="n"/>
    </row>
    <row r="25" ht="18" customHeight="1">
      <c r="A25" s="1014" t="n"/>
      <c r="B25" s="1034">
        <f>"( "&amp;IF('ข้อมูลโรงเรียน'!$C$9="","..................................................",'ข้อมูลโรงเรียน'!$C$9)&amp;" )"</f>
        <v/>
      </c>
      <c r="F25" s="1020" t="n"/>
      <c r="G25" s="1020" t="n"/>
      <c r="H25" s="1035">
        <f>"( "&amp;IF('ข้อมูลโรงเรียน'!$C$11="","..................................................",'ข้อมูลโรงเรียน'!$C$11)&amp;" )"</f>
        <v/>
      </c>
      <c r="K25" s="1025" t="n"/>
      <c r="L25" s="1018" t="n"/>
    </row>
    <row r="26" ht="18" customHeight="1">
      <c r="A26" s="1014" t="n"/>
      <c r="B26" s="1036" t="inlineStr">
        <is>
          <t>ครูประจำชั้น</t>
        </is>
      </c>
      <c r="F26" s="1020" t="n"/>
      <c r="G26" s="1020" t="n"/>
      <c r="H26" s="1037" t="inlineStr">
        <is>
          <t>ผู้บริหารสถานศึกษา</t>
        </is>
      </c>
      <c r="K26" s="1025" t="n"/>
      <c r="L26" s="1018" t="n"/>
    </row>
    <row r="27" ht="18" customHeight="1">
      <c r="A27" s="1014" t="n"/>
      <c r="B27" s="1019" t="n"/>
      <c r="C27" s="1020" t="n"/>
      <c r="D27" s="1020" t="n"/>
      <c r="E27" s="1020" t="n"/>
      <c r="F27" s="1020" t="n"/>
      <c r="G27" s="1020" t="n"/>
      <c r="H27" s="1020" t="n"/>
      <c r="I27" s="1020" t="n"/>
      <c r="J27" s="1020" t="n"/>
      <c r="K27" s="1021" t="n"/>
      <c r="L27" s="1018" t="n"/>
    </row>
    <row r="28" ht="18" customHeight="1">
      <c r="A28" s="1014" t="n"/>
      <c r="B28" s="1019" t="n"/>
      <c r="C28" s="1020" t="n"/>
      <c r="D28" s="1020" t="n"/>
      <c r="E28" s="1020" t="n"/>
      <c r="F28" s="1020" t="n"/>
      <c r="G28" s="1020" t="n"/>
      <c r="H28" s="1020" t="n"/>
      <c r="I28" s="1020" t="n"/>
      <c r="J28" s="1020" t="n"/>
      <c r="K28" s="1021" t="n"/>
      <c r="L28" s="1018" t="n"/>
    </row>
    <row r="29" ht="18" customHeight="1">
      <c r="A29" s="1014" t="n"/>
      <c r="B29" s="1038" t="n"/>
      <c r="C29" s="1039" t="n"/>
      <c r="D29" s="1039" t="n"/>
      <c r="E29" s="1039" t="n"/>
      <c r="F29" s="1039" t="n"/>
      <c r="G29" s="1039" t="n"/>
      <c r="H29" s="1039" t="n"/>
      <c r="I29" s="1039" t="n"/>
      <c r="J29" s="1039" t="n"/>
      <c r="K29" s="1040" t="n"/>
      <c r="L29" s="1018" t="n"/>
    </row>
    <row r="30" ht="18" customHeight="1">
      <c r="A30" s="1041" t="n"/>
      <c r="B30" s="1042" t="n"/>
      <c r="C30" s="1042" t="n"/>
      <c r="D30" s="1042" t="n"/>
      <c r="E30" s="1042" t="n"/>
      <c r="F30" s="1042" t="n"/>
      <c r="G30" s="1042" t="n"/>
      <c r="H30" s="1042" t="n"/>
      <c r="I30" s="1042" t="n"/>
      <c r="J30" s="1042" t="n"/>
      <c r="K30" s="1042" t="n"/>
      <c r="L30" s="1043" t="n"/>
    </row>
    <row r="31" ht="18" customHeight="1">
      <c r="A31" s="1011" t="n"/>
      <c r="B31" s="1012" t="n"/>
      <c r="C31" s="1012" t="n"/>
      <c r="D31" s="1012" t="n"/>
      <c r="E31" s="1012" t="n"/>
      <c r="F31" s="1012" t="n"/>
      <c r="G31" s="1012" t="n"/>
      <c r="H31" s="1012" t="n"/>
      <c r="I31" s="1012" t="n"/>
      <c r="J31" s="1012" t="n"/>
      <c r="K31" s="1012" t="n"/>
      <c r="L31" s="1013" t="n"/>
    </row>
    <row r="32" ht="18" customHeight="1">
      <c r="A32" s="1014" t="n"/>
      <c r="B32" s="1015" t="n"/>
      <c r="C32" s="1016" t="n"/>
      <c r="D32" s="1016" t="n"/>
      <c r="E32" s="1016" t="n"/>
      <c r="F32" s="1016" t="n"/>
      <c r="G32" s="1016" t="n"/>
      <c r="H32" s="1016" t="n"/>
      <c r="I32" s="1016" t="n"/>
      <c r="J32" s="1016" t="n"/>
      <c r="K32" s="1017" t="n"/>
      <c r="L32" s="1018" t="n"/>
    </row>
    <row r="33" ht="18" customHeight="1">
      <c r="A33" s="1014" t="n"/>
      <c r="B33" s="1019" t="n"/>
      <c r="C33" s="1020" t="n"/>
      <c r="D33" s="1020" t="n"/>
      <c r="E33" s="1020" t="n"/>
      <c r="F33" s="1020" t="n"/>
      <c r="G33" s="1020" t="n"/>
      <c r="H33" s="1020" t="n"/>
      <c r="I33" s="1020" t="n"/>
      <c r="J33" s="1020" t="n"/>
      <c r="K33" s="1021" t="n"/>
      <c r="L33" s="1018" t="n"/>
    </row>
    <row r="34" ht="26" customHeight="1">
      <c r="A34" s="1014" t="n"/>
      <c r="B34" s="1024">
        <f>"โรงเรียน"&amp;'ข้อมูลโรงเรียน'!$C$5</f>
        <v/>
      </c>
      <c r="K34" s="1025" t="n"/>
      <c r="L34" s="1018" t="n"/>
    </row>
    <row r="35" ht="18" customHeight="1">
      <c r="A35" s="1014" t="n"/>
      <c r="B35" s="1026">
        <f>IF('ข้อมูลโรงเรียน'!$C$6="","",'ข้อมูลโรงเรียน'!$C$6)</f>
        <v/>
      </c>
      <c r="K35" s="1025" t="n"/>
      <c r="L35" s="1018" t="n"/>
    </row>
    <row r="36" ht="18" customHeight="1">
      <c r="A36" s="1014" t="n"/>
      <c r="B36" s="1019" t="n"/>
      <c r="C36" s="1020" t="n"/>
      <c r="D36" s="1020" t="n"/>
      <c r="E36" s="1020" t="n"/>
      <c r="F36" s="1020" t="n"/>
      <c r="G36" s="1020" t="n"/>
      <c r="H36" s="1020" t="n"/>
      <c r="I36" s="1020" t="n"/>
      <c r="J36" s="1020" t="n"/>
      <c r="K36" s="1021" t="n"/>
      <c r="L36" s="1018" t="n"/>
    </row>
    <row r="37" ht="52" customHeight="1">
      <c r="A37" s="1014" t="n"/>
      <c r="B37" s="1027" t="inlineStr">
        <is>
          <t>เกียรติบัตร</t>
        </is>
      </c>
      <c r="K37" s="1025" t="n"/>
      <c r="L37" s="1018" t="n"/>
    </row>
    <row r="38" ht="18" customHeight="1">
      <c r="A38" s="1014" t="n"/>
      <c r="B38" s="1019" t="n"/>
      <c r="C38" s="1020" t="n"/>
      <c r="D38" s="1020" t="n"/>
      <c r="E38" s="1020" t="n"/>
      <c r="F38" s="1020" t="n"/>
      <c r="G38" s="1020" t="n"/>
      <c r="H38" s="1020" t="n"/>
      <c r="I38" s="1020" t="n"/>
      <c r="J38" s="1020" t="n"/>
      <c r="K38" s="1021" t="n"/>
      <c r="L38" s="1018" t="n"/>
    </row>
    <row r="39" ht="22" customHeight="1">
      <c r="A39" s="1014" t="n"/>
      <c r="B39" s="1028">
        <f>'เกียรติบัตร'!$O$7&amp;""</f>
        <v/>
      </c>
      <c r="K39" s="1025" t="n"/>
      <c r="L39" s="1018" t="n"/>
    </row>
    <row r="40" ht="18" customHeight="1">
      <c r="A40" s="1014" t="n"/>
      <c r="B40" s="1019" t="n"/>
      <c r="C40" s="1020" t="n"/>
      <c r="D40" s="1020" t="n"/>
      <c r="E40" s="1020" t="n"/>
      <c r="F40" s="1020" t="n"/>
      <c r="G40" s="1020" t="n"/>
      <c r="H40" s="1020" t="n"/>
      <c r="I40" s="1020" t="n"/>
      <c r="J40" s="1020" t="n"/>
      <c r="K40" s="1021" t="n"/>
      <c r="L40" s="1018" t="n"/>
    </row>
    <row r="41" ht="44" customHeight="1">
      <c r="A41" s="1014" t="n"/>
      <c r="B41" s="1029">
        <f>IF(INDEX('ข้อมูลนักเรียน'!$T$9:$T$13,2)="","..................................................",INDEX('ข้อมูลนักเรียน'!$T$9:$T$13,2))</f>
        <v/>
      </c>
      <c r="K41" s="1025" t="n"/>
      <c r="L41" s="1018" t="n"/>
    </row>
    <row r="42" ht="18" customHeight="1">
      <c r="A42" s="1014" t="n"/>
      <c r="B42" s="1019" t="n"/>
      <c r="C42" s="1020" t="n"/>
      <c r="D42" s="1020" t="n"/>
      <c r="E42" s="1020" t="n"/>
      <c r="F42" s="1020" t="n"/>
      <c r="G42" s="1020" t="n"/>
      <c r="H42" s="1020" t="n"/>
      <c r="I42" s="1020" t="n"/>
      <c r="J42" s="1020" t="n"/>
      <c r="K42" s="1021" t="n"/>
      <c r="L42" s="1018" t="n"/>
    </row>
    <row r="43" ht="18" customHeight="1">
      <c r="A43" s="1014" t="n"/>
      <c r="B43" s="1030">
        <f>"นักเรียนชั้น"&amp;'ข้อมูลโรงเรียน'!$C$7&amp;"/"&amp;'ข้อมูลโรงเรียน'!$C$8</f>
        <v/>
      </c>
      <c r="K43" s="1025" t="n"/>
      <c r="L43" s="1018" t="n"/>
    </row>
    <row r="44" ht="18" customHeight="1">
      <c r="A44" s="1014" t="n"/>
      <c r="B44" s="1019" t="n"/>
      <c r="C44" s="1020" t="n"/>
      <c r="D44" s="1020" t="n"/>
      <c r="E44" s="1020" t="n"/>
      <c r="F44" s="1020" t="n"/>
      <c r="G44" s="1020" t="n"/>
      <c r="H44" s="1020" t="n"/>
      <c r="I44" s="1020" t="n"/>
      <c r="J44" s="1020" t="n"/>
      <c r="K44" s="1021" t="n"/>
      <c r="L44" s="1018" t="n"/>
    </row>
    <row r="45" ht="36" customHeight="1">
      <c r="A45" s="1014" t="n"/>
      <c r="B45" s="1031">
        <f>'เกียรติบัตร'!$O$4&amp;""</f>
        <v/>
      </c>
      <c r="K45" s="1025" t="n"/>
      <c r="L45" s="1018" t="n"/>
    </row>
    <row r="46" ht="18" customHeight="1">
      <c r="A46" s="1014" t="n"/>
      <c r="B46" s="1019" t="n"/>
      <c r="C46" s="1020" t="n"/>
      <c r="D46" s="1020" t="n"/>
      <c r="E46" s="1020" t="n"/>
      <c r="F46" s="1020" t="n"/>
      <c r="G46" s="1020" t="n"/>
      <c r="H46" s="1020" t="n"/>
      <c r="I46" s="1020" t="n"/>
      <c r="J46" s="1020" t="n"/>
      <c r="K46" s="1021" t="n"/>
      <c r="L46" s="1018" t="n"/>
    </row>
    <row r="47" ht="22" customHeight="1">
      <c r="A47" s="1014" t="n"/>
      <c r="B47" s="1028">
        <f>'เกียรติบัตร'!$O$5&amp;""</f>
        <v/>
      </c>
      <c r="K47" s="1025" t="n"/>
      <c r="L47" s="1018" t="n"/>
    </row>
    <row r="48" ht="18" customHeight="1">
      <c r="A48" s="1014" t="n"/>
      <c r="B48" s="1019" t="n"/>
      <c r="C48" s="1020" t="n"/>
      <c r="D48" s="1020" t="n"/>
      <c r="E48" s="1020" t="n"/>
      <c r="F48" s="1020" t="n"/>
      <c r="G48" s="1020" t="n"/>
      <c r="H48" s="1020" t="n"/>
      <c r="I48" s="1020" t="n"/>
      <c r="J48" s="1020" t="n"/>
      <c r="K48" s="1021" t="n"/>
      <c r="L48" s="1018" t="n"/>
    </row>
    <row r="49" ht="18" customHeight="1">
      <c r="A49" s="1014" t="n"/>
      <c r="B49" s="1032">
        <f>"ขอให้มีความสุข ความเจริญ และเป็นเด็กดีของพ่อแม่และครูตลอดไป"</f>
        <v/>
      </c>
      <c r="K49" s="1025" t="n"/>
      <c r="L49" s="1018" t="n"/>
    </row>
    <row r="50" ht="18" customHeight="1">
      <c r="A50" s="1014" t="n"/>
      <c r="B50" s="1019" t="n"/>
      <c r="C50" s="1020" t="n"/>
      <c r="D50" s="1020" t="n"/>
      <c r="E50" s="1020" t="n"/>
      <c r="F50" s="1020" t="n"/>
      <c r="G50" s="1020" t="n"/>
      <c r="H50" s="1020" t="n"/>
      <c r="I50" s="1020" t="n"/>
      <c r="J50" s="1020" t="n"/>
      <c r="K50" s="1021" t="n"/>
      <c r="L50" s="1018" t="n"/>
    </row>
    <row r="51" ht="22" customHeight="1">
      <c r="A51" s="1014" t="n"/>
      <c r="B51" s="1033">
        <f>"ให้ไว้ ณ วันที่ "&amp;'เกียรติบัตร'!$O$6</f>
        <v/>
      </c>
      <c r="K51" s="1025" t="n"/>
      <c r="L51" s="1018" t="n"/>
    </row>
    <row r="52" ht="18" customHeight="1">
      <c r="A52" s="1014" t="n"/>
      <c r="B52" s="1019" t="n"/>
      <c r="C52" s="1020" t="n"/>
      <c r="D52" s="1020" t="n"/>
      <c r="E52" s="1020" t="n"/>
      <c r="F52" s="1020" t="n"/>
      <c r="G52" s="1020" t="n"/>
      <c r="H52" s="1020" t="n"/>
      <c r="I52" s="1020" t="n"/>
      <c r="J52" s="1020" t="n"/>
      <c r="K52" s="1021" t="n"/>
      <c r="L52" s="1018" t="n"/>
    </row>
    <row r="53" ht="18" customHeight="1">
      <c r="A53" s="1014" t="n"/>
      <c r="B53" s="1019" t="n"/>
      <c r="C53" s="1020" t="n"/>
      <c r="D53" s="1020" t="n"/>
      <c r="E53" s="1020" t="n"/>
      <c r="F53" s="1020" t="n"/>
      <c r="G53" s="1020" t="n"/>
      <c r="H53" s="1020" t="n"/>
      <c r="I53" s="1020" t="n"/>
      <c r="J53" s="1020" t="n"/>
      <c r="K53" s="1021" t="n"/>
      <c r="L53" s="1018" t="n"/>
    </row>
    <row r="54" ht="18" customHeight="1">
      <c r="A54" s="1014" t="n"/>
      <c r="B54" s="1034" t="inlineStr">
        <is>
          <t>..................................................</t>
        </is>
      </c>
      <c r="F54" s="1020" t="n"/>
      <c r="G54" s="1020" t="n"/>
      <c r="H54" s="1035" t="inlineStr">
        <is>
          <t>..................................................</t>
        </is>
      </c>
      <c r="K54" s="1025" t="n"/>
      <c r="L54" s="1018" t="n"/>
    </row>
    <row r="55" ht="18" customHeight="1">
      <c r="A55" s="1014" t="n"/>
      <c r="B55" s="1034">
        <f>"( "&amp;IF('ข้อมูลโรงเรียน'!$C$9="","..................................................",'ข้อมูลโรงเรียน'!$C$9)&amp;" )"</f>
        <v/>
      </c>
      <c r="F55" s="1020" t="n"/>
      <c r="G55" s="1020" t="n"/>
      <c r="H55" s="1035">
        <f>"( "&amp;IF('ข้อมูลโรงเรียน'!$C$11="","..................................................",'ข้อมูลโรงเรียน'!$C$11)&amp;" )"</f>
        <v/>
      </c>
      <c r="K55" s="1025" t="n"/>
      <c r="L55" s="1018" t="n"/>
    </row>
    <row r="56" ht="18" customHeight="1">
      <c r="A56" s="1014" t="n"/>
      <c r="B56" s="1036" t="inlineStr">
        <is>
          <t>ครูประจำชั้น</t>
        </is>
      </c>
      <c r="F56" s="1020" t="n"/>
      <c r="G56" s="1020" t="n"/>
      <c r="H56" s="1037" t="inlineStr">
        <is>
          <t>ผู้บริหารสถานศึกษา</t>
        </is>
      </c>
      <c r="K56" s="1025" t="n"/>
      <c r="L56" s="1018" t="n"/>
    </row>
    <row r="57" ht="18" customHeight="1">
      <c r="A57" s="1014" t="n"/>
      <c r="B57" s="1019" t="n"/>
      <c r="C57" s="1020" t="n"/>
      <c r="D57" s="1020" t="n"/>
      <c r="E57" s="1020" t="n"/>
      <c r="F57" s="1020" t="n"/>
      <c r="G57" s="1020" t="n"/>
      <c r="H57" s="1020" t="n"/>
      <c r="I57" s="1020" t="n"/>
      <c r="J57" s="1020" t="n"/>
      <c r="K57" s="1021" t="n"/>
      <c r="L57" s="1018" t="n"/>
    </row>
    <row r="58" ht="18" customHeight="1">
      <c r="A58" s="1014" t="n"/>
      <c r="B58" s="1019" t="n"/>
      <c r="C58" s="1020" t="n"/>
      <c r="D58" s="1020" t="n"/>
      <c r="E58" s="1020" t="n"/>
      <c r="F58" s="1020" t="n"/>
      <c r="G58" s="1020" t="n"/>
      <c r="H58" s="1020" t="n"/>
      <c r="I58" s="1020" t="n"/>
      <c r="J58" s="1020" t="n"/>
      <c r="K58" s="1021" t="n"/>
      <c r="L58" s="1018" t="n"/>
    </row>
    <row r="59" ht="18" customHeight="1">
      <c r="A59" s="1014" t="n"/>
      <c r="B59" s="1038" t="n"/>
      <c r="C59" s="1039" t="n"/>
      <c r="D59" s="1039" t="n"/>
      <c r="E59" s="1039" t="n"/>
      <c r="F59" s="1039" t="n"/>
      <c r="G59" s="1039" t="n"/>
      <c r="H59" s="1039" t="n"/>
      <c r="I59" s="1039" t="n"/>
      <c r="J59" s="1039" t="n"/>
      <c r="K59" s="1040" t="n"/>
      <c r="L59" s="1018" t="n"/>
    </row>
    <row r="60" ht="18" customHeight="1">
      <c r="A60" s="1041" t="n"/>
      <c r="B60" s="1042" t="n"/>
      <c r="C60" s="1042" t="n"/>
      <c r="D60" s="1042" t="n"/>
      <c r="E60" s="1042" t="n"/>
      <c r="F60" s="1042" t="n"/>
      <c r="G60" s="1042" t="n"/>
      <c r="H60" s="1042" t="n"/>
      <c r="I60" s="1042" t="n"/>
      <c r="J60" s="1042" t="n"/>
      <c r="K60" s="1042" t="n"/>
      <c r="L60" s="1043" t="n"/>
    </row>
    <row r="61" ht="18" customHeight="1">
      <c r="A61" s="1011" t="n"/>
      <c r="B61" s="1012" t="n"/>
      <c r="C61" s="1012" t="n"/>
      <c r="D61" s="1012" t="n"/>
      <c r="E61" s="1012" t="n"/>
      <c r="F61" s="1012" t="n"/>
      <c r="G61" s="1012" t="n"/>
      <c r="H61" s="1012" t="n"/>
      <c r="I61" s="1012" t="n"/>
      <c r="J61" s="1012" t="n"/>
      <c r="K61" s="1012" t="n"/>
      <c r="L61" s="1013" t="n"/>
    </row>
    <row r="62" ht="18" customHeight="1">
      <c r="A62" s="1014" t="n"/>
      <c r="B62" s="1015" t="n"/>
      <c r="C62" s="1016" t="n"/>
      <c r="D62" s="1016" t="n"/>
      <c r="E62" s="1016" t="n"/>
      <c r="F62" s="1016" t="n"/>
      <c r="G62" s="1016" t="n"/>
      <c r="H62" s="1016" t="n"/>
      <c r="I62" s="1016" t="n"/>
      <c r="J62" s="1016" t="n"/>
      <c r="K62" s="1017" t="n"/>
      <c r="L62" s="1018" t="n"/>
    </row>
    <row r="63" ht="18" customHeight="1">
      <c r="A63" s="1014" t="n"/>
      <c r="B63" s="1019" t="n"/>
      <c r="C63" s="1020" t="n"/>
      <c r="D63" s="1020" t="n"/>
      <c r="E63" s="1020" t="n"/>
      <c r="F63" s="1020" t="n"/>
      <c r="G63" s="1020" t="n"/>
      <c r="H63" s="1020" t="n"/>
      <c r="I63" s="1020" t="n"/>
      <c r="J63" s="1020" t="n"/>
      <c r="K63" s="1021" t="n"/>
      <c r="L63" s="1018" t="n"/>
    </row>
    <row r="64" ht="26" customHeight="1">
      <c r="A64" s="1014" t="n"/>
      <c r="B64" s="1024">
        <f>"โรงเรียน"&amp;'ข้อมูลโรงเรียน'!$C$5</f>
        <v/>
      </c>
      <c r="K64" s="1025" t="n"/>
      <c r="L64" s="1018" t="n"/>
    </row>
    <row r="65" ht="18" customHeight="1">
      <c r="A65" s="1014" t="n"/>
      <c r="B65" s="1026">
        <f>IF('ข้อมูลโรงเรียน'!$C$6="","",'ข้อมูลโรงเรียน'!$C$6)</f>
        <v/>
      </c>
      <c r="K65" s="1025" t="n"/>
      <c r="L65" s="1018" t="n"/>
    </row>
    <row r="66" ht="18" customHeight="1">
      <c r="A66" s="1014" t="n"/>
      <c r="B66" s="1019" t="n"/>
      <c r="C66" s="1020" t="n"/>
      <c r="D66" s="1020" t="n"/>
      <c r="E66" s="1020" t="n"/>
      <c r="F66" s="1020" t="n"/>
      <c r="G66" s="1020" t="n"/>
      <c r="H66" s="1020" t="n"/>
      <c r="I66" s="1020" t="n"/>
      <c r="J66" s="1020" t="n"/>
      <c r="K66" s="1021" t="n"/>
      <c r="L66" s="1018" t="n"/>
    </row>
    <row r="67" ht="52" customHeight="1">
      <c r="A67" s="1014" t="n"/>
      <c r="B67" s="1027" t="inlineStr">
        <is>
          <t>เกียรติบัตร</t>
        </is>
      </c>
      <c r="K67" s="1025" t="n"/>
      <c r="L67" s="1018" t="n"/>
    </row>
    <row r="68" ht="18" customHeight="1">
      <c r="A68" s="1014" t="n"/>
      <c r="B68" s="1019" t="n"/>
      <c r="C68" s="1020" t="n"/>
      <c r="D68" s="1020" t="n"/>
      <c r="E68" s="1020" t="n"/>
      <c r="F68" s="1020" t="n"/>
      <c r="G68" s="1020" t="n"/>
      <c r="H68" s="1020" t="n"/>
      <c r="I68" s="1020" t="n"/>
      <c r="J68" s="1020" t="n"/>
      <c r="K68" s="1021" t="n"/>
      <c r="L68" s="1018" t="n"/>
    </row>
    <row r="69" ht="22" customHeight="1">
      <c r="A69" s="1014" t="n"/>
      <c r="B69" s="1028">
        <f>'เกียรติบัตร'!$O$7&amp;""</f>
        <v/>
      </c>
      <c r="K69" s="1025" t="n"/>
      <c r="L69" s="1018" t="n"/>
    </row>
    <row r="70" ht="18" customHeight="1">
      <c r="A70" s="1014" t="n"/>
      <c r="B70" s="1019" t="n"/>
      <c r="C70" s="1020" t="n"/>
      <c r="D70" s="1020" t="n"/>
      <c r="E70" s="1020" t="n"/>
      <c r="F70" s="1020" t="n"/>
      <c r="G70" s="1020" t="n"/>
      <c r="H70" s="1020" t="n"/>
      <c r="I70" s="1020" t="n"/>
      <c r="J70" s="1020" t="n"/>
      <c r="K70" s="1021" t="n"/>
      <c r="L70" s="1018" t="n"/>
    </row>
    <row r="71" ht="44" customHeight="1">
      <c r="A71" s="1014" t="n"/>
      <c r="B71" s="1029">
        <f>IF(INDEX('ข้อมูลนักเรียน'!$T$9:$T$13,3)="","..................................................",INDEX('ข้อมูลนักเรียน'!$T$9:$T$13,3))</f>
        <v/>
      </c>
      <c r="K71" s="1025" t="n"/>
      <c r="L71" s="1018" t="n"/>
    </row>
    <row r="72" ht="18" customHeight="1">
      <c r="A72" s="1014" t="n"/>
      <c r="B72" s="1019" t="n"/>
      <c r="C72" s="1020" t="n"/>
      <c r="D72" s="1020" t="n"/>
      <c r="E72" s="1020" t="n"/>
      <c r="F72" s="1020" t="n"/>
      <c r="G72" s="1020" t="n"/>
      <c r="H72" s="1020" t="n"/>
      <c r="I72" s="1020" t="n"/>
      <c r="J72" s="1020" t="n"/>
      <c r="K72" s="1021" t="n"/>
      <c r="L72" s="1018" t="n"/>
    </row>
    <row r="73" ht="18" customHeight="1">
      <c r="A73" s="1014" t="n"/>
      <c r="B73" s="1030">
        <f>"นักเรียนชั้น"&amp;'ข้อมูลโรงเรียน'!$C$7&amp;"/"&amp;'ข้อมูลโรงเรียน'!$C$8</f>
        <v/>
      </c>
      <c r="K73" s="1025" t="n"/>
      <c r="L73" s="1018" t="n"/>
    </row>
    <row r="74" ht="18" customHeight="1">
      <c r="A74" s="1014" t="n"/>
      <c r="B74" s="1019" t="n"/>
      <c r="C74" s="1020" t="n"/>
      <c r="D74" s="1020" t="n"/>
      <c r="E74" s="1020" t="n"/>
      <c r="F74" s="1020" t="n"/>
      <c r="G74" s="1020" t="n"/>
      <c r="H74" s="1020" t="n"/>
      <c r="I74" s="1020" t="n"/>
      <c r="J74" s="1020" t="n"/>
      <c r="K74" s="1021" t="n"/>
      <c r="L74" s="1018" t="n"/>
    </row>
    <row r="75" ht="36" customHeight="1">
      <c r="A75" s="1014" t="n"/>
      <c r="B75" s="1031">
        <f>'เกียรติบัตร'!$O$4&amp;""</f>
        <v/>
      </c>
      <c r="K75" s="1025" t="n"/>
      <c r="L75" s="1018" t="n"/>
    </row>
    <row r="76" ht="18" customHeight="1">
      <c r="A76" s="1014" t="n"/>
      <c r="B76" s="1019" t="n"/>
      <c r="C76" s="1020" t="n"/>
      <c r="D76" s="1020" t="n"/>
      <c r="E76" s="1020" t="n"/>
      <c r="F76" s="1020" t="n"/>
      <c r="G76" s="1020" t="n"/>
      <c r="H76" s="1020" t="n"/>
      <c r="I76" s="1020" t="n"/>
      <c r="J76" s="1020" t="n"/>
      <c r="K76" s="1021" t="n"/>
      <c r="L76" s="1018" t="n"/>
    </row>
    <row r="77" ht="22" customHeight="1">
      <c r="A77" s="1014" t="n"/>
      <c r="B77" s="1028">
        <f>'เกียรติบัตร'!$O$5&amp;""</f>
        <v/>
      </c>
      <c r="K77" s="1025" t="n"/>
      <c r="L77" s="1018" t="n"/>
    </row>
    <row r="78" ht="18" customHeight="1">
      <c r="A78" s="1014" t="n"/>
      <c r="B78" s="1019" t="n"/>
      <c r="C78" s="1020" t="n"/>
      <c r="D78" s="1020" t="n"/>
      <c r="E78" s="1020" t="n"/>
      <c r="F78" s="1020" t="n"/>
      <c r="G78" s="1020" t="n"/>
      <c r="H78" s="1020" t="n"/>
      <c r="I78" s="1020" t="n"/>
      <c r="J78" s="1020" t="n"/>
      <c r="K78" s="1021" t="n"/>
      <c r="L78" s="1018" t="n"/>
    </row>
    <row r="79" ht="18" customHeight="1">
      <c r="A79" s="1014" t="n"/>
      <c r="B79" s="1032">
        <f>"ขอให้มีความสุข ความเจริญ และเป็นเด็กดีของพ่อแม่และครูตลอดไป"</f>
        <v/>
      </c>
      <c r="K79" s="1025" t="n"/>
      <c r="L79" s="1018" t="n"/>
    </row>
    <row r="80" ht="18" customHeight="1">
      <c r="A80" s="1014" t="n"/>
      <c r="B80" s="1019" t="n"/>
      <c r="C80" s="1020" t="n"/>
      <c r="D80" s="1020" t="n"/>
      <c r="E80" s="1020" t="n"/>
      <c r="F80" s="1020" t="n"/>
      <c r="G80" s="1020" t="n"/>
      <c r="H80" s="1020" t="n"/>
      <c r="I80" s="1020" t="n"/>
      <c r="J80" s="1020" t="n"/>
      <c r="K80" s="1021" t="n"/>
      <c r="L80" s="1018" t="n"/>
    </row>
    <row r="81" ht="22" customHeight="1">
      <c r="A81" s="1014" t="n"/>
      <c r="B81" s="1033">
        <f>"ให้ไว้ ณ วันที่ "&amp;'เกียรติบัตร'!$O$6</f>
        <v/>
      </c>
      <c r="K81" s="1025" t="n"/>
      <c r="L81" s="1018" t="n"/>
    </row>
    <row r="82" ht="18" customHeight="1">
      <c r="A82" s="1014" t="n"/>
      <c r="B82" s="1019" t="n"/>
      <c r="C82" s="1020" t="n"/>
      <c r="D82" s="1020" t="n"/>
      <c r="E82" s="1020" t="n"/>
      <c r="F82" s="1020" t="n"/>
      <c r="G82" s="1020" t="n"/>
      <c r="H82" s="1020" t="n"/>
      <c r="I82" s="1020" t="n"/>
      <c r="J82" s="1020" t="n"/>
      <c r="K82" s="1021" t="n"/>
      <c r="L82" s="1018" t="n"/>
    </row>
    <row r="83" ht="18" customHeight="1">
      <c r="A83" s="1014" t="n"/>
      <c r="B83" s="1019" t="n"/>
      <c r="C83" s="1020" t="n"/>
      <c r="D83" s="1020" t="n"/>
      <c r="E83" s="1020" t="n"/>
      <c r="F83" s="1020" t="n"/>
      <c r="G83" s="1020" t="n"/>
      <c r="H83" s="1020" t="n"/>
      <c r="I83" s="1020" t="n"/>
      <c r="J83" s="1020" t="n"/>
      <c r="K83" s="1021" t="n"/>
      <c r="L83" s="1018" t="n"/>
    </row>
    <row r="84" ht="18" customHeight="1">
      <c r="A84" s="1014" t="n"/>
      <c r="B84" s="1034" t="inlineStr">
        <is>
          <t>..................................................</t>
        </is>
      </c>
      <c r="F84" s="1020" t="n"/>
      <c r="G84" s="1020" t="n"/>
      <c r="H84" s="1035" t="inlineStr">
        <is>
          <t>..................................................</t>
        </is>
      </c>
      <c r="K84" s="1025" t="n"/>
      <c r="L84" s="1018" t="n"/>
    </row>
    <row r="85" ht="18" customHeight="1">
      <c r="A85" s="1014" t="n"/>
      <c r="B85" s="1034">
        <f>"( "&amp;IF('ข้อมูลโรงเรียน'!$C$9="","..................................................",'ข้อมูลโรงเรียน'!$C$9)&amp;" )"</f>
        <v/>
      </c>
      <c r="F85" s="1020" t="n"/>
      <c r="G85" s="1020" t="n"/>
      <c r="H85" s="1035">
        <f>"( "&amp;IF('ข้อมูลโรงเรียน'!$C$11="","..................................................",'ข้อมูลโรงเรียน'!$C$11)&amp;" )"</f>
        <v/>
      </c>
      <c r="K85" s="1025" t="n"/>
      <c r="L85" s="1018" t="n"/>
    </row>
    <row r="86" ht="18" customHeight="1">
      <c r="A86" s="1014" t="n"/>
      <c r="B86" s="1036" t="inlineStr">
        <is>
          <t>ครูประจำชั้น</t>
        </is>
      </c>
      <c r="F86" s="1020" t="n"/>
      <c r="G86" s="1020" t="n"/>
      <c r="H86" s="1037" t="inlineStr">
        <is>
          <t>ผู้บริหารสถานศึกษา</t>
        </is>
      </c>
      <c r="K86" s="1025" t="n"/>
      <c r="L86" s="1018" t="n"/>
    </row>
    <row r="87" ht="18" customHeight="1">
      <c r="A87" s="1014" t="n"/>
      <c r="B87" s="1019" t="n"/>
      <c r="C87" s="1020" t="n"/>
      <c r="D87" s="1020" t="n"/>
      <c r="E87" s="1020" t="n"/>
      <c r="F87" s="1020" t="n"/>
      <c r="G87" s="1020" t="n"/>
      <c r="H87" s="1020" t="n"/>
      <c r="I87" s="1020" t="n"/>
      <c r="J87" s="1020" t="n"/>
      <c r="K87" s="1021" t="n"/>
      <c r="L87" s="1018" t="n"/>
    </row>
    <row r="88" ht="18" customHeight="1">
      <c r="A88" s="1014" t="n"/>
      <c r="B88" s="1019" t="n"/>
      <c r="C88" s="1020" t="n"/>
      <c r="D88" s="1020" t="n"/>
      <c r="E88" s="1020" t="n"/>
      <c r="F88" s="1020" t="n"/>
      <c r="G88" s="1020" t="n"/>
      <c r="H88" s="1020" t="n"/>
      <c r="I88" s="1020" t="n"/>
      <c r="J88" s="1020" t="n"/>
      <c r="K88" s="1021" t="n"/>
      <c r="L88" s="1018" t="n"/>
    </row>
    <row r="89" ht="18" customHeight="1">
      <c r="A89" s="1014" t="n"/>
      <c r="B89" s="1038" t="n"/>
      <c r="C89" s="1039" t="n"/>
      <c r="D89" s="1039" t="n"/>
      <c r="E89" s="1039" t="n"/>
      <c r="F89" s="1039" t="n"/>
      <c r="G89" s="1039" t="n"/>
      <c r="H89" s="1039" t="n"/>
      <c r="I89" s="1039" t="n"/>
      <c r="J89" s="1039" t="n"/>
      <c r="K89" s="1040" t="n"/>
      <c r="L89" s="1018" t="n"/>
    </row>
    <row r="90" ht="18" customHeight="1">
      <c r="A90" s="1041" t="n"/>
      <c r="B90" s="1042" t="n"/>
      <c r="C90" s="1042" t="n"/>
      <c r="D90" s="1042" t="n"/>
      <c r="E90" s="1042" t="n"/>
      <c r="F90" s="1042" t="n"/>
      <c r="G90" s="1042" t="n"/>
      <c r="H90" s="1042" t="n"/>
      <c r="I90" s="1042" t="n"/>
      <c r="J90" s="1042" t="n"/>
      <c r="K90" s="1042" t="n"/>
      <c r="L90" s="1043" t="n"/>
    </row>
    <row r="91" ht="18" customHeight="1">
      <c r="A91" s="1011" t="n"/>
      <c r="B91" s="1012" t="n"/>
      <c r="C91" s="1012" t="n"/>
      <c r="D91" s="1012" t="n"/>
      <c r="E91" s="1012" t="n"/>
      <c r="F91" s="1012" t="n"/>
      <c r="G91" s="1012" t="n"/>
      <c r="H91" s="1012" t="n"/>
      <c r="I91" s="1012" t="n"/>
      <c r="J91" s="1012" t="n"/>
      <c r="K91" s="1012" t="n"/>
      <c r="L91" s="1013" t="n"/>
    </row>
    <row r="92" ht="18" customHeight="1">
      <c r="A92" s="1014" t="n"/>
      <c r="B92" s="1015" t="n"/>
      <c r="C92" s="1016" t="n"/>
      <c r="D92" s="1016" t="n"/>
      <c r="E92" s="1016" t="n"/>
      <c r="F92" s="1016" t="n"/>
      <c r="G92" s="1016" t="n"/>
      <c r="H92" s="1016" t="n"/>
      <c r="I92" s="1016" t="n"/>
      <c r="J92" s="1016" t="n"/>
      <c r="K92" s="1017" t="n"/>
      <c r="L92" s="1018" t="n"/>
    </row>
    <row r="93" ht="18" customHeight="1">
      <c r="A93" s="1014" t="n"/>
      <c r="B93" s="1019" t="n"/>
      <c r="C93" s="1020" t="n"/>
      <c r="D93" s="1020" t="n"/>
      <c r="E93" s="1020" t="n"/>
      <c r="F93" s="1020" t="n"/>
      <c r="G93" s="1020" t="n"/>
      <c r="H93" s="1020" t="n"/>
      <c r="I93" s="1020" t="n"/>
      <c r="J93" s="1020" t="n"/>
      <c r="K93" s="1021" t="n"/>
      <c r="L93" s="1018" t="n"/>
    </row>
    <row r="94" ht="26" customHeight="1">
      <c r="A94" s="1014" t="n"/>
      <c r="B94" s="1024">
        <f>"โรงเรียน"&amp;'ข้อมูลโรงเรียน'!$C$5</f>
        <v/>
      </c>
      <c r="K94" s="1025" t="n"/>
      <c r="L94" s="1018" t="n"/>
    </row>
    <row r="95" ht="18" customHeight="1">
      <c r="A95" s="1014" t="n"/>
      <c r="B95" s="1026">
        <f>IF('ข้อมูลโรงเรียน'!$C$6="","",'ข้อมูลโรงเรียน'!$C$6)</f>
        <v/>
      </c>
      <c r="K95" s="1025" t="n"/>
      <c r="L95" s="1018" t="n"/>
    </row>
    <row r="96" ht="18" customHeight="1">
      <c r="A96" s="1014" t="n"/>
      <c r="B96" s="1019" t="n"/>
      <c r="C96" s="1020" t="n"/>
      <c r="D96" s="1020" t="n"/>
      <c r="E96" s="1020" t="n"/>
      <c r="F96" s="1020" t="n"/>
      <c r="G96" s="1020" t="n"/>
      <c r="H96" s="1020" t="n"/>
      <c r="I96" s="1020" t="n"/>
      <c r="J96" s="1020" t="n"/>
      <c r="K96" s="1021" t="n"/>
      <c r="L96" s="1018" t="n"/>
    </row>
    <row r="97" ht="52" customHeight="1">
      <c r="A97" s="1014" t="n"/>
      <c r="B97" s="1027" t="inlineStr">
        <is>
          <t>เกียรติบัตร</t>
        </is>
      </c>
      <c r="K97" s="1025" t="n"/>
      <c r="L97" s="1018" t="n"/>
    </row>
    <row r="98" ht="18" customHeight="1">
      <c r="A98" s="1014" t="n"/>
      <c r="B98" s="1019" t="n"/>
      <c r="C98" s="1020" t="n"/>
      <c r="D98" s="1020" t="n"/>
      <c r="E98" s="1020" t="n"/>
      <c r="F98" s="1020" t="n"/>
      <c r="G98" s="1020" t="n"/>
      <c r="H98" s="1020" t="n"/>
      <c r="I98" s="1020" t="n"/>
      <c r="J98" s="1020" t="n"/>
      <c r="K98" s="1021" t="n"/>
      <c r="L98" s="1018" t="n"/>
    </row>
    <row r="99" ht="22" customHeight="1">
      <c r="A99" s="1014" t="n"/>
      <c r="B99" s="1028">
        <f>'เกียรติบัตร'!$O$7&amp;""</f>
        <v/>
      </c>
      <c r="K99" s="1025" t="n"/>
      <c r="L99" s="1018" t="n"/>
    </row>
    <row r="100" ht="18" customHeight="1">
      <c r="A100" s="1014" t="n"/>
      <c r="B100" s="1019" t="n"/>
      <c r="C100" s="1020" t="n"/>
      <c r="D100" s="1020" t="n"/>
      <c r="E100" s="1020" t="n"/>
      <c r="F100" s="1020" t="n"/>
      <c r="G100" s="1020" t="n"/>
      <c r="H100" s="1020" t="n"/>
      <c r="I100" s="1020" t="n"/>
      <c r="J100" s="1020" t="n"/>
      <c r="K100" s="1021" t="n"/>
      <c r="L100" s="1018" t="n"/>
    </row>
    <row r="101" ht="44" customHeight="1">
      <c r="A101" s="1014" t="n"/>
      <c r="B101" s="1029">
        <f>IF(INDEX('ข้อมูลนักเรียน'!$T$9:$T$13,4)="","..................................................",INDEX('ข้อมูลนักเรียน'!$T$9:$T$13,4))</f>
        <v/>
      </c>
      <c r="K101" s="1025" t="n"/>
      <c r="L101" s="1018" t="n"/>
    </row>
    <row r="102" ht="18" customHeight="1">
      <c r="A102" s="1014" t="n"/>
      <c r="B102" s="1019" t="n"/>
      <c r="C102" s="1020" t="n"/>
      <c r="D102" s="1020" t="n"/>
      <c r="E102" s="1020" t="n"/>
      <c r="F102" s="1020" t="n"/>
      <c r="G102" s="1020" t="n"/>
      <c r="H102" s="1020" t="n"/>
      <c r="I102" s="1020" t="n"/>
      <c r="J102" s="1020" t="n"/>
      <c r="K102" s="1021" t="n"/>
      <c r="L102" s="1018" t="n"/>
    </row>
    <row r="103" ht="18" customHeight="1">
      <c r="A103" s="1014" t="n"/>
      <c r="B103" s="1030">
        <f>"นักเรียนชั้น"&amp;'ข้อมูลโรงเรียน'!$C$7&amp;"/"&amp;'ข้อมูลโรงเรียน'!$C$8</f>
        <v/>
      </c>
      <c r="K103" s="1025" t="n"/>
      <c r="L103" s="1018" t="n"/>
    </row>
    <row r="104" ht="18" customHeight="1">
      <c r="A104" s="1014" t="n"/>
      <c r="B104" s="1019" t="n"/>
      <c r="C104" s="1020" t="n"/>
      <c r="D104" s="1020" t="n"/>
      <c r="E104" s="1020" t="n"/>
      <c r="F104" s="1020" t="n"/>
      <c r="G104" s="1020" t="n"/>
      <c r="H104" s="1020" t="n"/>
      <c r="I104" s="1020" t="n"/>
      <c r="J104" s="1020" t="n"/>
      <c r="K104" s="1021" t="n"/>
      <c r="L104" s="1018" t="n"/>
    </row>
    <row r="105" ht="36" customHeight="1">
      <c r="A105" s="1014" t="n"/>
      <c r="B105" s="1031">
        <f>'เกียรติบัตร'!$O$4&amp;""</f>
        <v/>
      </c>
      <c r="K105" s="1025" t="n"/>
      <c r="L105" s="1018" t="n"/>
    </row>
    <row r="106" ht="18" customHeight="1">
      <c r="A106" s="1014" t="n"/>
      <c r="B106" s="1019" t="n"/>
      <c r="C106" s="1020" t="n"/>
      <c r="D106" s="1020" t="n"/>
      <c r="E106" s="1020" t="n"/>
      <c r="F106" s="1020" t="n"/>
      <c r="G106" s="1020" t="n"/>
      <c r="H106" s="1020" t="n"/>
      <c r="I106" s="1020" t="n"/>
      <c r="J106" s="1020" t="n"/>
      <c r="K106" s="1021" t="n"/>
      <c r="L106" s="1018" t="n"/>
    </row>
    <row r="107" ht="22" customHeight="1">
      <c r="A107" s="1014" t="n"/>
      <c r="B107" s="1028">
        <f>'เกียรติบัตร'!$O$5&amp;""</f>
        <v/>
      </c>
      <c r="K107" s="1025" t="n"/>
      <c r="L107" s="1018" t="n"/>
    </row>
    <row r="108" ht="18" customHeight="1">
      <c r="A108" s="1014" t="n"/>
      <c r="B108" s="1019" t="n"/>
      <c r="C108" s="1020" t="n"/>
      <c r="D108" s="1020" t="n"/>
      <c r="E108" s="1020" t="n"/>
      <c r="F108" s="1020" t="n"/>
      <c r="G108" s="1020" t="n"/>
      <c r="H108" s="1020" t="n"/>
      <c r="I108" s="1020" t="n"/>
      <c r="J108" s="1020" t="n"/>
      <c r="K108" s="1021" t="n"/>
      <c r="L108" s="1018" t="n"/>
    </row>
    <row r="109" ht="18" customHeight="1">
      <c r="A109" s="1014" t="n"/>
      <c r="B109" s="1032">
        <f>"ขอให้มีความสุข ความเจริญ และเป็นเด็กดีของพ่อแม่และครูตลอดไป"</f>
        <v/>
      </c>
      <c r="K109" s="1025" t="n"/>
      <c r="L109" s="1018" t="n"/>
    </row>
    <row r="110" ht="18" customHeight="1">
      <c r="A110" s="1014" t="n"/>
      <c r="B110" s="1019" t="n"/>
      <c r="C110" s="1020" t="n"/>
      <c r="D110" s="1020" t="n"/>
      <c r="E110" s="1020" t="n"/>
      <c r="F110" s="1020" t="n"/>
      <c r="G110" s="1020" t="n"/>
      <c r="H110" s="1020" t="n"/>
      <c r="I110" s="1020" t="n"/>
      <c r="J110" s="1020" t="n"/>
      <c r="K110" s="1021" t="n"/>
      <c r="L110" s="1018" t="n"/>
    </row>
    <row r="111" ht="22" customHeight="1">
      <c r="A111" s="1014" t="n"/>
      <c r="B111" s="1033">
        <f>"ให้ไว้ ณ วันที่ "&amp;'เกียรติบัตร'!$O$6</f>
        <v/>
      </c>
      <c r="K111" s="1025" t="n"/>
      <c r="L111" s="1018" t="n"/>
    </row>
    <row r="112" ht="18" customHeight="1">
      <c r="A112" s="1014" t="n"/>
      <c r="B112" s="1019" t="n"/>
      <c r="C112" s="1020" t="n"/>
      <c r="D112" s="1020" t="n"/>
      <c r="E112" s="1020" t="n"/>
      <c r="F112" s="1020" t="n"/>
      <c r="G112" s="1020" t="n"/>
      <c r="H112" s="1020" t="n"/>
      <c r="I112" s="1020" t="n"/>
      <c r="J112" s="1020" t="n"/>
      <c r="K112" s="1021" t="n"/>
      <c r="L112" s="1018" t="n"/>
    </row>
    <row r="113" ht="18" customHeight="1">
      <c r="A113" s="1014" t="n"/>
      <c r="B113" s="1019" t="n"/>
      <c r="C113" s="1020" t="n"/>
      <c r="D113" s="1020" t="n"/>
      <c r="E113" s="1020" t="n"/>
      <c r="F113" s="1020" t="n"/>
      <c r="G113" s="1020" t="n"/>
      <c r="H113" s="1020" t="n"/>
      <c r="I113" s="1020" t="n"/>
      <c r="J113" s="1020" t="n"/>
      <c r="K113" s="1021" t="n"/>
      <c r="L113" s="1018" t="n"/>
    </row>
    <row r="114" ht="18" customHeight="1">
      <c r="A114" s="1014" t="n"/>
      <c r="B114" s="1034" t="inlineStr">
        <is>
          <t>..................................................</t>
        </is>
      </c>
      <c r="F114" s="1020" t="n"/>
      <c r="G114" s="1020" t="n"/>
      <c r="H114" s="1035" t="inlineStr">
        <is>
          <t>..................................................</t>
        </is>
      </c>
      <c r="K114" s="1025" t="n"/>
      <c r="L114" s="1018" t="n"/>
    </row>
    <row r="115" ht="18" customHeight="1">
      <c r="A115" s="1014" t="n"/>
      <c r="B115" s="1034">
        <f>"( "&amp;IF('ข้อมูลโรงเรียน'!$C$9="","..................................................",'ข้อมูลโรงเรียน'!$C$9)&amp;" )"</f>
        <v/>
      </c>
      <c r="F115" s="1020" t="n"/>
      <c r="G115" s="1020" t="n"/>
      <c r="H115" s="1035">
        <f>"( "&amp;IF('ข้อมูลโรงเรียน'!$C$11="","..................................................",'ข้อมูลโรงเรียน'!$C$11)&amp;" )"</f>
        <v/>
      </c>
      <c r="K115" s="1025" t="n"/>
      <c r="L115" s="1018" t="n"/>
    </row>
    <row r="116" ht="18" customHeight="1">
      <c r="A116" s="1014" t="n"/>
      <c r="B116" s="1036" t="inlineStr">
        <is>
          <t>ครูประจำชั้น</t>
        </is>
      </c>
      <c r="F116" s="1020" t="n"/>
      <c r="G116" s="1020" t="n"/>
      <c r="H116" s="1037" t="inlineStr">
        <is>
          <t>ผู้บริหารสถานศึกษา</t>
        </is>
      </c>
      <c r="K116" s="1025" t="n"/>
      <c r="L116" s="1018" t="n"/>
    </row>
    <row r="117" ht="18" customHeight="1">
      <c r="A117" s="1014" t="n"/>
      <c r="B117" s="1019" t="n"/>
      <c r="C117" s="1020" t="n"/>
      <c r="D117" s="1020" t="n"/>
      <c r="E117" s="1020" t="n"/>
      <c r="F117" s="1020" t="n"/>
      <c r="G117" s="1020" t="n"/>
      <c r="H117" s="1020" t="n"/>
      <c r="I117" s="1020" t="n"/>
      <c r="J117" s="1020" t="n"/>
      <c r="K117" s="1021" t="n"/>
      <c r="L117" s="1018" t="n"/>
    </row>
    <row r="118" ht="18" customHeight="1">
      <c r="A118" s="1014" t="n"/>
      <c r="B118" s="1019" t="n"/>
      <c r="C118" s="1020" t="n"/>
      <c r="D118" s="1020" t="n"/>
      <c r="E118" s="1020" t="n"/>
      <c r="F118" s="1020" t="n"/>
      <c r="G118" s="1020" t="n"/>
      <c r="H118" s="1020" t="n"/>
      <c r="I118" s="1020" t="n"/>
      <c r="J118" s="1020" t="n"/>
      <c r="K118" s="1021" t="n"/>
      <c r="L118" s="1018" t="n"/>
    </row>
    <row r="119" ht="18" customHeight="1">
      <c r="A119" s="1014" t="n"/>
      <c r="B119" s="1038" t="n"/>
      <c r="C119" s="1039" t="n"/>
      <c r="D119" s="1039" t="n"/>
      <c r="E119" s="1039" t="n"/>
      <c r="F119" s="1039" t="n"/>
      <c r="G119" s="1039" t="n"/>
      <c r="H119" s="1039" t="n"/>
      <c r="I119" s="1039" t="n"/>
      <c r="J119" s="1039" t="n"/>
      <c r="K119" s="1040" t="n"/>
      <c r="L119" s="1018" t="n"/>
    </row>
    <row r="120" ht="18" customHeight="1">
      <c r="A120" s="1041" t="n"/>
      <c r="B120" s="1042" t="n"/>
      <c r="C120" s="1042" t="n"/>
      <c r="D120" s="1042" t="n"/>
      <c r="E120" s="1042" t="n"/>
      <c r="F120" s="1042" t="n"/>
      <c r="G120" s="1042" t="n"/>
      <c r="H120" s="1042" t="n"/>
      <c r="I120" s="1042" t="n"/>
      <c r="J120" s="1042" t="n"/>
      <c r="K120" s="1042" t="n"/>
      <c r="L120" s="1043" t="n"/>
    </row>
    <row r="121" ht="18" customHeight="1">
      <c r="A121" s="1011" t="n"/>
      <c r="B121" s="1012" t="n"/>
      <c r="C121" s="1012" t="n"/>
      <c r="D121" s="1012" t="n"/>
      <c r="E121" s="1012" t="n"/>
      <c r="F121" s="1012" t="n"/>
      <c r="G121" s="1012" t="n"/>
      <c r="H121" s="1012" t="n"/>
      <c r="I121" s="1012" t="n"/>
      <c r="J121" s="1012" t="n"/>
      <c r="K121" s="1012" t="n"/>
      <c r="L121" s="1013" t="n"/>
    </row>
    <row r="122" ht="18" customHeight="1">
      <c r="A122" s="1014" t="n"/>
      <c r="B122" s="1015" t="n"/>
      <c r="C122" s="1016" t="n"/>
      <c r="D122" s="1016" t="n"/>
      <c r="E122" s="1016" t="n"/>
      <c r="F122" s="1016" t="n"/>
      <c r="G122" s="1016" t="n"/>
      <c r="H122" s="1016" t="n"/>
      <c r="I122" s="1016" t="n"/>
      <c r="J122" s="1016" t="n"/>
      <c r="K122" s="1017" t="n"/>
      <c r="L122" s="1018" t="n"/>
    </row>
    <row r="123" ht="18" customHeight="1">
      <c r="A123" s="1014" t="n"/>
      <c r="B123" s="1019" t="n"/>
      <c r="C123" s="1020" t="n"/>
      <c r="D123" s="1020" t="n"/>
      <c r="E123" s="1020" t="n"/>
      <c r="F123" s="1020" t="n"/>
      <c r="G123" s="1020" t="n"/>
      <c r="H123" s="1020" t="n"/>
      <c r="I123" s="1020" t="n"/>
      <c r="J123" s="1020" t="n"/>
      <c r="K123" s="1021" t="n"/>
      <c r="L123" s="1018" t="n"/>
    </row>
    <row r="124" ht="26" customHeight="1">
      <c r="A124" s="1014" t="n"/>
      <c r="B124" s="1024">
        <f>"โรงเรียน"&amp;'ข้อมูลโรงเรียน'!$C$5</f>
        <v/>
      </c>
      <c r="K124" s="1025" t="n"/>
      <c r="L124" s="1018" t="n"/>
    </row>
    <row r="125" ht="18" customHeight="1">
      <c r="A125" s="1014" t="n"/>
      <c r="B125" s="1026">
        <f>IF('ข้อมูลโรงเรียน'!$C$6="","",'ข้อมูลโรงเรียน'!$C$6)</f>
        <v/>
      </c>
      <c r="K125" s="1025" t="n"/>
      <c r="L125" s="1018" t="n"/>
    </row>
    <row r="126" ht="18" customHeight="1">
      <c r="A126" s="1014" t="n"/>
      <c r="B126" s="1019" t="n"/>
      <c r="C126" s="1020" t="n"/>
      <c r="D126" s="1020" t="n"/>
      <c r="E126" s="1020" t="n"/>
      <c r="F126" s="1020" t="n"/>
      <c r="G126" s="1020" t="n"/>
      <c r="H126" s="1020" t="n"/>
      <c r="I126" s="1020" t="n"/>
      <c r="J126" s="1020" t="n"/>
      <c r="K126" s="1021" t="n"/>
      <c r="L126" s="1018" t="n"/>
    </row>
    <row r="127" ht="52" customHeight="1">
      <c r="A127" s="1014" t="n"/>
      <c r="B127" s="1027" t="inlineStr">
        <is>
          <t>เกียรติบัตร</t>
        </is>
      </c>
      <c r="K127" s="1025" t="n"/>
      <c r="L127" s="1018" t="n"/>
    </row>
    <row r="128" ht="18" customHeight="1">
      <c r="A128" s="1014" t="n"/>
      <c r="B128" s="1019" t="n"/>
      <c r="C128" s="1020" t="n"/>
      <c r="D128" s="1020" t="n"/>
      <c r="E128" s="1020" t="n"/>
      <c r="F128" s="1020" t="n"/>
      <c r="G128" s="1020" t="n"/>
      <c r="H128" s="1020" t="n"/>
      <c r="I128" s="1020" t="n"/>
      <c r="J128" s="1020" t="n"/>
      <c r="K128" s="1021" t="n"/>
      <c r="L128" s="1018" t="n"/>
    </row>
    <row r="129" ht="22" customHeight="1">
      <c r="A129" s="1014" t="n"/>
      <c r="B129" s="1028">
        <f>'เกียรติบัตร'!$O$7&amp;""</f>
        <v/>
      </c>
      <c r="K129" s="1025" t="n"/>
      <c r="L129" s="1018" t="n"/>
    </row>
    <row r="130" ht="18" customHeight="1">
      <c r="A130" s="1014" t="n"/>
      <c r="B130" s="1019" t="n"/>
      <c r="C130" s="1020" t="n"/>
      <c r="D130" s="1020" t="n"/>
      <c r="E130" s="1020" t="n"/>
      <c r="F130" s="1020" t="n"/>
      <c r="G130" s="1020" t="n"/>
      <c r="H130" s="1020" t="n"/>
      <c r="I130" s="1020" t="n"/>
      <c r="J130" s="1020" t="n"/>
      <c r="K130" s="1021" t="n"/>
      <c r="L130" s="1018" t="n"/>
    </row>
    <row r="131" ht="44" customHeight="1">
      <c r="A131" s="1014" t="n"/>
      <c r="B131" s="1029">
        <f>IF(INDEX('ข้อมูลนักเรียน'!$T$9:$T$13,5)="","..................................................",INDEX('ข้อมูลนักเรียน'!$T$9:$T$13,5))</f>
        <v/>
      </c>
      <c r="K131" s="1025" t="n"/>
      <c r="L131" s="1018" t="n"/>
    </row>
    <row r="132" ht="18" customHeight="1">
      <c r="A132" s="1014" t="n"/>
      <c r="B132" s="1019" t="n"/>
      <c r="C132" s="1020" t="n"/>
      <c r="D132" s="1020" t="n"/>
      <c r="E132" s="1020" t="n"/>
      <c r="F132" s="1020" t="n"/>
      <c r="G132" s="1020" t="n"/>
      <c r="H132" s="1020" t="n"/>
      <c r="I132" s="1020" t="n"/>
      <c r="J132" s="1020" t="n"/>
      <c r="K132" s="1021" t="n"/>
      <c r="L132" s="1018" t="n"/>
    </row>
    <row r="133" ht="18" customHeight="1">
      <c r="A133" s="1014" t="n"/>
      <c r="B133" s="1030">
        <f>"นักเรียนชั้น"&amp;'ข้อมูลโรงเรียน'!$C$7&amp;"/"&amp;'ข้อมูลโรงเรียน'!$C$8</f>
        <v/>
      </c>
      <c r="K133" s="1025" t="n"/>
      <c r="L133" s="1018" t="n"/>
    </row>
    <row r="134" ht="18" customHeight="1">
      <c r="A134" s="1014" t="n"/>
      <c r="B134" s="1019" t="n"/>
      <c r="C134" s="1020" t="n"/>
      <c r="D134" s="1020" t="n"/>
      <c r="E134" s="1020" t="n"/>
      <c r="F134" s="1020" t="n"/>
      <c r="G134" s="1020" t="n"/>
      <c r="H134" s="1020" t="n"/>
      <c r="I134" s="1020" t="n"/>
      <c r="J134" s="1020" t="n"/>
      <c r="K134" s="1021" t="n"/>
      <c r="L134" s="1018" t="n"/>
    </row>
    <row r="135" ht="36" customHeight="1">
      <c r="A135" s="1014" t="n"/>
      <c r="B135" s="1031">
        <f>'เกียรติบัตร'!$O$4&amp;""</f>
        <v/>
      </c>
      <c r="K135" s="1025" t="n"/>
      <c r="L135" s="1018" t="n"/>
    </row>
    <row r="136" ht="18" customHeight="1">
      <c r="A136" s="1014" t="n"/>
      <c r="B136" s="1019" t="n"/>
      <c r="C136" s="1020" t="n"/>
      <c r="D136" s="1020" t="n"/>
      <c r="E136" s="1020" t="n"/>
      <c r="F136" s="1020" t="n"/>
      <c r="G136" s="1020" t="n"/>
      <c r="H136" s="1020" t="n"/>
      <c r="I136" s="1020" t="n"/>
      <c r="J136" s="1020" t="n"/>
      <c r="K136" s="1021" t="n"/>
      <c r="L136" s="1018" t="n"/>
    </row>
    <row r="137" ht="22" customHeight="1">
      <c r="A137" s="1014" t="n"/>
      <c r="B137" s="1028">
        <f>'เกียรติบัตร'!$O$5&amp;""</f>
        <v/>
      </c>
      <c r="K137" s="1025" t="n"/>
      <c r="L137" s="1018" t="n"/>
    </row>
    <row r="138" ht="18" customHeight="1">
      <c r="A138" s="1014" t="n"/>
      <c r="B138" s="1019" t="n"/>
      <c r="C138" s="1020" t="n"/>
      <c r="D138" s="1020" t="n"/>
      <c r="E138" s="1020" t="n"/>
      <c r="F138" s="1020" t="n"/>
      <c r="G138" s="1020" t="n"/>
      <c r="H138" s="1020" t="n"/>
      <c r="I138" s="1020" t="n"/>
      <c r="J138" s="1020" t="n"/>
      <c r="K138" s="1021" t="n"/>
      <c r="L138" s="1018" t="n"/>
    </row>
    <row r="139" ht="18" customHeight="1">
      <c r="A139" s="1014" t="n"/>
      <c r="B139" s="1032">
        <f>"ขอให้มีความสุข ความเจริญ และเป็นเด็กดีของพ่อแม่และครูตลอดไป"</f>
        <v/>
      </c>
      <c r="K139" s="1025" t="n"/>
      <c r="L139" s="1018" t="n"/>
    </row>
    <row r="140" ht="18" customHeight="1">
      <c r="A140" s="1014" t="n"/>
      <c r="B140" s="1019" t="n"/>
      <c r="C140" s="1020" t="n"/>
      <c r="D140" s="1020" t="n"/>
      <c r="E140" s="1020" t="n"/>
      <c r="F140" s="1020" t="n"/>
      <c r="G140" s="1020" t="n"/>
      <c r="H140" s="1020" t="n"/>
      <c r="I140" s="1020" t="n"/>
      <c r="J140" s="1020" t="n"/>
      <c r="K140" s="1021" t="n"/>
      <c r="L140" s="1018" t="n"/>
    </row>
    <row r="141" ht="22" customHeight="1">
      <c r="A141" s="1014" t="n"/>
      <c r="B141" s="1033">
        <f>"ให้ไว้ ณ วันที่ "&amp;'เกียรติบัตร'!$O$6</f>
        <v/>
      </c>
      <c r="K141" s="1025" t="n"/>
      <c r="L141" s="1018" t="n"/>
    </row>
    <row r="142" ht="18" customHeight="1">
      <c r="A142" s="1014" t="n"/>
      <c r="B142" s="1019" t="n"/>
      <c r="C142" s="1020" t="n"/>
      <c r="D142" s="1020" t="n"/>
      <c r="E142" s="1020" t="n"/>
      <c r="F142" s="1020" t="n"/>
      <c r="G142" s="1020" t="n"/>
      <c r="H142" s="1020" t="n"/>
      <c r="I142" s="1020" t="n"/>
      <c r="J142" s="1020" t="n"/>
      <c r="K142" s="1021" t="n"/>
      <c r="L142" s="1018" t="n"/>
    </row>
    <row r="143" ht="18" customHeight="1">
      <c r="A143" s="1014" t="n"/>
      <c r="B143" s="1019" t="n"/>
      <c r="C143" s="1020" t="n"/>
      <c r="D143" s="1020" t="n"/>
      <c r="E143" s="1020" t="n"/>
      <c r="F143" s="1020" t="n"/>
      <c r="G143" s="1020" t="n"/>
      <c r="H143" s="1020" t="n"/>
      <c r="I143" s="1020" t="n"/>
      <c r="J143" s="1020" t="n"/>
      <c r="K143" s="1021" t="n"/>
      <c r="L143" s="1018" t="n"/>
    </row>
    <row r="144" ht="18" customHeight="1">
      <c r="A144" s="1014" t="n"/>
      <c r="B144" s="1034" t="inlineStr">
        <is>
          <t>..................................................</t>
        </is>
      </c>
      <c r="F144" s="1020" t="n"/>
      <c r="G144" s="1020" t="n"/>
      <c r="H144" s="1035" t="inlineStr">
        <is>
          <t>..................................................</t>
        </is>
      </c>
      <c r="K144" s="1025" t="n"/>
      <c r="L144" s="1018" t="n"/>
    </row>
    <row r="145" ht="18" customHeight="1">
      <c r="A145" s="1014" t="n"/>
      <c r="B145" s="1034">
        <f>"( "&amp;IF('ข้อมูลโรงเรียน'!$C$9="","..................................................",'ข้อมูลโรงเรียน'!$C$9)&amp;" )"</f>
        <v/>
      </c>
      <c r="F145" s="1020" t="n"/>
      <c r="G145" s="1020" t="n"/>
      <c r="H145" s="1035">
        <f>"( "&amp;IF('ข้อมูลโรงเรียน'!$C$11="","..................................................",'ข้อมูลโรงเรียน'!$C$11)&amp;" )"</f>
        <v/>
      </c>
      <c r="K145" s="1025" t="n"/>
      <c r="L145" s="1018" t="n"/>
    </row>
    <row r="146" ht="18" customHeight="1">
      <c r="A146" s="1014" t="n"/>
      <c r="B146" s="1036" t="inlineStr">
        <is>
          <t>ครูประจำชั้น</t>
        </is>
      </c>
      <c r="F146" s="1020" t="n"/>
      <c r="G146" s="1020" t="n"/>
      <c r="H146" s="1037" t="inlineStr">
        <is>
          <t>ผู้บริหารสถานศึกษา</t>
        </is>
      </c>
      <c r="K146" s="1025" t="n"/>
      <c r="L146" s="1018" t="n"/>
    </row>
    <row r="147" ht="18" customHeight="1">
      <c r="A147" s="1014" t="n"/>
      <c r="B147" s="1019" t="n"/>
      <c r="C147" s="1020" t="n"/>
      <c r="D147" s="1020" t="n"/>
      <c r="E147" s="1020" t="n"/>
      <c r="F147" s="1020" t="n"/>
      <c r="G147" s="1020" t="n"/>
      <c r="H147" s="1020" t="n"/>
      <c r="I147" s="1020" t="n"/>
      <c r="J147" s="1020" t="n"/>
      <c r="K147" s="1021" t="n"/>
      <c r="L147" s="1018" t="n"/>
    </row>
    <row r="148" ht="18" customHeight="1">
      <c r="A148" s="1014" t="n"/>
      <c r="B148" s="1019" t="n"/>
      <c r="C148" s="1020" t="n"/>
      <c r="D148" s="1020" t="n"/>
      <c r="E148" s="1020" t="n"/>
      <c r="F148" s="1020" t="n"/>
      <c r="G148" s="1020" t="n"/>
      <c r="H148" s="1020" t="n"/>
      <c r="I148" s="1020" t="n"/>
      <c r="J148" s="1020" t="n"/>
      <c r="K148" s="1021" t="n"/>
      <c r="L148" s="1018" t="n"/>
    </row>
    <row r="149" ht="18" customHeight="1">
      <c r="A149" s="1014" t="n"/>
      <c r="B149" s="1038" t="n"/>
      <c r="C149" s="1039" t="n"/>
      <c r="D149" s="1039" t="n"/>
      <c r="E149" s="1039" t="n"/>
      <c r="F149" s="1039" t="n"/>
      <c r="G149" s="1039" t="n"/>
      <c r="H149" s="1039" t="n"/>
      <c r="I149" s="1039" t="n"/>
      <c r="J149" s="1039" t="n"/>
      <c r="K149" s="1040" t="n"/>
      <c r="L149" s="1018" t="n"/>
    </row>
    <row r="150" ht="18" customHeight="1">
      <c r="A150" s="1041" t="n"/>
      <c r="B150" s="1042" t="n"/>
      <c r="C150" s="1042" t="n"/>
      <c r="D150" s="1042" t="n"/>
      <c r="E150" s="1042" t="n"/>
      <c r="F150" s="1042" t="n"/>
      <c r="G150" s="1042" t="n"/>
      <c r="H150" s="1042" t="n"/>
      <c r="I150" s="1042" t="n"/>
      <c r="J150" s="1042" t="n"/>
      <c r="K150" s="1042" t="n"/>
      <c r="L150" s="104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80">
    <mergeCell ref="B146:E146"/>
    <mergeCell ref="H24:K24"/>
    <mergeCell ref="B133:K133"/>
    <mergeCell ref="B94:K94"/>
    <mergeCell ref="B4:K4"/>
    <mergeCell ref="H26:K26"/>
    <mergeCell ref="B135:K135"/>
    <mergeCell ref="B125:K125"/>
    <mergeCell ref="B115:E115"/>
    <mergeCell ref="H55:K55"/>
    <mergeCell ref="B86:E86"/>
    <mergeCell ref="B105:K105"/>
    <mergeCell ref="B43:K43"/>
    <mergeCell ref="B111:K111"/>
    <mergeCell ref="B107:K107"/>
    <mergeCell ref="B17:K17"/>
    <mergeCell ref="H144:K144"/>
    <mergeCell ref="B19:K19"/>
    <mergeCell ref="B99:K99"/>
    <mergeCell ref="B9:K9"/>
    <mergeCell ref="B139:K139"/>
    <mergeCell ref="B124:K124"/>
    <mergeCell ref="B5:K5"/>
    <mergeCell ref="B114:E114"/>
    <mergeCell ref="B26:E26"/>
    <mergeCell ref="B45:K45"/>
    <mergeCell ref="H116:K116"/>
    <mergeCell ref="B75:K75"/>
    <mergeCell ref="B25:E25"/>
    <mergeCell ref="B109:K109"/>
    <mergeCell ref="B47:K47"/>
    <mergeCell ref="H54:K54"/>
    <mergeCell ref="B141:K141"/>
    <mergeCell ref="H146:K146"/>
    <mergeCell ref="H56:K56"/>
    <mergeCell ref="H25:K25"/>
    <mergeCell ref="B21:K21"/>
    <mergeCell ref="B39:K39"/>
    <mergeCell ref="H85:K85"/>
    <mergeCell ref="B13:K13"/>
    <mergeCell ref="B116:E116"/>
    <mergeCell ref="B73:K73"/>
    <mergeCell ref="B84:E84"/>
    <mergeCell ref="B137:K137"/>
    <mergeCell ref="B49:K49"/>
    <mergeCell ref="B65:K65"/>
    <mergeCell ref="B55:E55"/>
    <mergeCell ref="B24:E24"/>
    <mergeCell ref="B51:K51"/>
    <mergeCell ref="H145:K145"/>
    <mergeCell ref="B41:K41"/>
    <mergeCell ref="B144:E144"/>
    <mergeCell ref="B54:E54"/>
    <mergeCell ref="B56:E56"/>
    <mergeCell ref="B77:K77"/>
    <mergeCell ref="B67:K67"/>
    <mergeCell ref="B101:K101"/>
    <mergeCell ref="B69:K69"/>
    <mergeCell ref="B103:K103"/>
    <mergeCell ref="H84:K84"/>
    <mergeCell ref="B127:K127"/>
    <mergeCell ref="B15:K15"/>
    <mergeCell ref="H86:K86"/>
    <mergeCell ref="B64:K64"/>
    <mergeCell ref="B95:K95"/>
    <mergeCell ref="B85:E85"/>
    <mergeCell ref="B79:K79"/>
    <mergeCell ref="B97:K97"/>
    <mergeCell ref="B35:K35"/>
    <mergeCell ref="B7:K7"/>
    <mergeCell ref="B129:K129"/>
    <mergeCell ref="B81:K81"/>
    <mergeCell ref="B71:K71"/>
    <mergeCell ref="B131:K131"/>
    <mergeCell ref="H114:K114"/>
    <mergeCell ref="B11:K11"/>
    <mergeCell ref="B145:E145"/>
    <mergeCell ref="H115:K115"/>
    <mergeCell ref="B34:K34"/>
    <mergeCell ref="B37:K37"/>
  </mergeCells>
  <printOptions horizontalCentered="1"/>
  <pageMargins left="0.75" right="0.75" top="0.4" bottom="0.4" header="0.5" footer="0.5"/>
  <pageSetup orientation="landscape" paperSize="9" scale="78"/>
  <rowBreaks count="4" manualBreakCount="4">
    <brk id="30" min="0" max="16383" man="1"/>
    <brk id="60" min="0" max="16383" man="1"/>
    <brk id="90" min="0" max="16383" man="1"/>
    <brk id="120" min="0" max="16383" man="1"/>
  </rowBreaks>
  <drawing xmlns:r="http://schemas.openxmlformats.org/officeDocument/2006/relationships" r:id="rId1"/>
</worksheet>
</file>

<file path=xl/worksheets/sheet53.xml><?xml version="1.0" encoding="utf-8"?>
<worksheet xmlns="http://schemas.openxmlformats.org/spreadsheetml/2006/main">
  <sheetPr>
    <tabColor rgb="00F493B5"/>
    <outlinePr summaryBelow="1" summaryRight="1"/>
    <pageSetUpPr fitToPage="1"/>
  </sheetPr>
  <dimension ref="A1:Z42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48" customHeight="1">
      <c r="A1" s="99" t="inlineStr">
        <is>
          <t>🏠</t>
        </is>
      </c>
      <c r="B1" s="100" t="n"/>
      <c r="C1" s="100" t="n"/>
      <c r="D1" s="100" t="n"/>
      <c r="E1" s="100" t="n"/>
      <c r="F1" s="100" t="n"/>
      <c r="G1" s="100" t="n"/>
      <c r="H1" s="100" t="n"/>
      <c r="I1" s="100" t="n"/>
      <c r="J1" s="100" t="n"/>
      <c r="K1" s="100" t="n"/>
      <c r="L1" s="100" t="n"/>
    </row>
    <row r="2" ht="20" customHeight="1">
      <c r="A2" s="101" t="inlineStr">
        <is>
          <t>หน้าหลัก</t>
        </is>
      </c>
      <c r="B2" s="102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03" t="n"/>
      <c r="D2" s="103" t="n"/>
      <c r="E2" s="103" t="n"/>
      <c r="F2" s="103" t="n"/>
      <c r="G2" s="103" t="n"/>
      <c r="H2" s="103" t="n"/>
      <c r="I2" s="103" t="n"/>
      <c r="J2" s="103" t="n"/>
      <c r="K2" s="103" t="n"/>
      <c r="L2" s="103" t="n"/>
    </row>
    <row r="3">
      <c r="B3" s="1044">
        <f>"เดือนนี้ ("&amp;CHOOSE(MONTH(TODAY(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) มีเพื่อนเกิด "&amp;COUNTIF($Y$9:$Y$13,MONTH(TODAY()))&amp;" คน"</f>
        <v/>
      </c>
    </row>
    <row r="4"/>
    <row r="5" ht="15" customHeight="1">
      <c r="B5" s="1045">
        <f>"พฤษภาคม  ("&amp;COUNTIF($Y$9:$Y$13,5)&amp;" คน)"</f>
        <v/>
      </c>
      <c r="C5" s="1046" t="n"/>
      <c r="E5" s="1047">
        <f>"มิถุนายน  ("&amp;COUNTIF($Y$9:$Y$13,6)&amp;" คน)"</f>
        <v/>
      </c>
      <c r="F5" s="1048" t="n"/>
      <c r="H5" s="1049">
        <f>"กรกฎาคม  ("&amp;COUNTIF($Y$9:$Y$13,7)&amp;" คน)"</f>
        <v/>
      </c>
      <c r="I5" s="1050" t="n"/>
      <c r="K5" s="1051">
        <f>"สิงหาคม  ("&amp;COUNTIF($Y$9:$Y$13,8)&amp;" คน)"</f>
        <v/>
      </c>
      <c r="L5" s="1052" t="n"/>
    </row>
    <row r="6" ht="15" customHeight="1">
      <c r="B6" s="1053">
        <f>IFERROR(INDEX($Z$9:$Z$13,MATCH(501,$W$9:$W$13,0)),"")</f>
        <v/>
      </c>
      <c r="C6" s="1054">
        <f>IFERROR(INDEX($Z$9:$Z$13,MATCH(502,$W$9:$W$13,0)),"")</f>
        <v/>
      </c>
      <c r="E6" s="1055">
        <f>IFERROR(INDEX($Z$9:$Z$13,MATCH(601,$W$9:$W$13,0)),"")</f>
        <v/>
      </c>
      <c r="F6" s="1056">
        <f>IFERROR(INDEX($Z$9:$Z$13,MATCH(602,$W$9:$W$13,0)),"")</f>
        <v/>
      </c>
      <c r="H6" s="1057">
        <f>IFERROR(INDEX($Z$9:$Z$13,MATCH(701,$W$9:$W$13,0)),"")</f>
        <v/>
      </c>
      <c r="I6" s="1058">
        <f>IFERROR(INDEX($Z$9:$Z$13,MATCH(702,$W$9:$W$13,0)),"")</f>
        <v/>
      </c>
      <c r="K6" s="1059">
        <f>IFERROR(INDEX($Z$9:$Z$13,MATCH(801,$W$9:$W$13,0)),"")</f>
        <v/>
      </c>
      <c r="L6" s="1060">
        <f>IFERROR(INDEX($Z$9:$Z$13,MATCH(802,$W$9:$W$13,0)),"")</f>
        <v/>
      </c>
    </row>
    <row r="7" ht="15" customHeight="1">
      <c r="B7" s="1053">
        <f>IFERROR(INDEX($Z$9:$Z$13,MATCH(503,$W$9:$W$13,0)),"")</f>
        <v/>
      </c>
      <c r="C7" s="1054">
        <f>IFERROR(INDEX($Z$9:$Z$13,MATCH(504,$W$9:$W$13,0)),"")</f>
        <v/>
      </c>
      <c r="E7" s="1055">
        <f>IFERROR(INDEX($Z$9:$Z$13,MATCH(603,$W$9:$W$13,0)),"")</f>
        <v/>
      </c>
      <c r="F7" s="1056">
        <f>IFERROR(INDEX($Z$9:$Z$13,MATCH(604,$W$9:$W$13,0)),"")</f>
        <v/>
      </c>
      <c r="H7" s="1057">
        <f>IFERROR(INDEX($Z$9:$Z$13,MATCH(703,$W$9:$W$13,0)),"")</f>
        <v/>
      </c>
      <c r="I7" s="1058">
        <f>IFERROR(INDEX($Z$9:$Z$13,MATCH(704,$W$9:$W$13,0)),"")</f>
        <v/>
      </c>
      <c r="K7" s="1059">
        <f>IFERROR(INDEX($Z$9:$Z$13,MATCH(803,$W$9:$W$13,0)),"")</f>
        <v/>
      </c>
      <c r="L7" s="1060">
        <f>IFERROR(INDEX($Z$9:$Z$13,MATCH(804,$W$9:$W$13,0)),"")</f>
        <v/>
      </c>
    </row>
    <row r="8" ht="15" customHeight="1">
      <c r="B8" s="1053">
        <f>IFERROR(INDEX($Z$9:$Z$13,MATCH(505,$W$9:$W$13,0)),"")</f>
        <v/>
      </c>
      <c r="C8" s="1054">
        <f>IFERROR(INDEX($Z$9:$Z$13,MATCH(506,$W$9:$W$13,0)),"")</f>
        <v/>
      </c>
      <c r="E8" s="1055">
        <f>IFERROR(INDEX($Z$9:$Z$13,MATCH(605,$W$9:$W$13,0)),"")</f>
        <v/>
      </c>
      <c r="F8" s="1056">
        <f>IFERROR(INDEX($Z$9:$Z$13,MATCH(606,$W$9:$W$13,0)),"")</f>
        <v/>
      </c>
      <c r="H8" s="1057">
        <f>IFERROR(INDEX($Z$9:$Z$13,MATCH(705,$W$9:$W$13,0)),"")</f>
        <v/>
      </c>
      <c r="I8" s="1058">
        <f>IFERROR(INDEX($Z$9:$Z$13,MATCH(706,$W$9:$W$13,0)),"")</f>
        <v/>
      </c>
      <c r="K8" s="1059">
        <f>IFERROR(INDEX($Z$9:$Z$13,MATCH(805,$W$9:$W$13,0)),"")</f>
        <v/>
      </c>
      <c r="L8" s="1060">
        <f>IFERROR(INDEX($Z$9:$Z$13,MATCH(806,$W$9:$W$13,0)),"")</f>
        <v/>
      </c>
    </row>
    <row r="9" ht="15" customHeight="1">
      <c r="B9" s="1053">
        <f>IFERROR(INDEX($Z$9:$Z$13,MATCH(507,$W$9:$W$13,0)),"")</f>
        <v/>
      </c>
      <c r="C9" s="1054">
        <f>IFERROR(INDEX($Z$9:$Z$13,MATCH(508,$W$9:$W$13,0)),"")</f>
        <v/>
      </c>
      <c r="E9" s="1055">
        <f>IFERROR(INDEX($Z$9:$Z$13,MATCH(607,$W$9:$W$13,0)),"")</f>
        <v/>
      </c>
      <c r="F9" s="1056">
        <f>IFERROR(INDEX($Z$9:$Z$13,MATCH(608,$W$9:$W$13,0)),"")</f>
        <v/>
      </c>
      <c r="H9" s="1057">
        <f>IFERROR(INDEX($Z$9:$Z$13,MATCH(707,$W$9:$W$13,0)),"")</f>
        <v/>
      </c>
      <c r="I9" s="1058">
        <f>IFERROR(INDEX($Z$9:$Z$13,MATCH(708,$W$9:$W$13,0)),"")</f>
        <v/>
      </c>
      <c r="K9" s="1059">
        <f>IFERROR(INDEX($Z$9:$Z$13,MATCH(807,$W$9:$W$13,0)),"")</f>
        <v/>
      </c>
      <c r="L9" s="1060">
        <f>IFERROR(INDEX($Z$9:$Z$13,MATCH(808,$W$9:$W$13,0)),"")</f>
        <v/>
      </c>
      <c r="W9">
        <f>IF(Y9=0,"",Y9*100+COUNTIFS($Y$9:$Y$13,Y9,$X$9:$X$13,"&lt;"&amp;X9)+COUNTIFS($Y$9:Y9,Y9,$X$9:X9,X9))</f>
        <v/>
      </c>
      <c r="X9">
        <f>IF('ข้อมูลนักเรียน'!S9="",0,DAY('ข้อมูลนักเรียน'!S9))</f>
        <v/>
      </c>
      <c r="Y9">
        <f>IF('ข้อมูลนักเรียน'!S9="",0,MONTH('ข้อมูลนักเรียน'!S9))</f>
        <v/>
      </c>
      <c r="Z9">
        <f>IF('ข้อมูลนักเรียน'!S9="","","• "&amp;DAY('ข้อมูลนักเรียน'!S9)&amp;"  "&amp;IF('ข้อมูลนักเรียน'!G9&lt;&gt;"",'ข้อมูลนักเรียน'!G9,'ข้อมูลนักเรียน'!E9))</f>
        <v/>
      </c>
    </row>
    <row r="10" ht="15" customHeight="1">
      <c r="B10" s="1053">
        <f>IFERROR(INDEX($Z$9:$Z$13,MATCH(509,$W$9:$W$13,0)),"")</f>
        <v/>
      </c>
      <c r="C10" s="1054">
        <f>IFERROR(INDEX($Z$9:$Z$13,MATCH(510,$W$9:$W$13,0)),"")</f>
        <v/>
      </c>
      <c r="E10" s="1055">
        <f>IFERROR(INDEX($Z$9:$Z$13,MATCH(609,$W$9:$W$13,0)),"")</f>
        <v/>
      </c>
      <c r="F10" s="1056">
        <f>IFERROR(INDEX($Z$9:$Z$13,MATCH(610,$W$9:$W$13,0)),"")</f>
        <v/>
      </c>
      <c r="H10" s="1057">
        <f>IFERROR(INDEX($Z$9:$Z$13,MATCH(709,$W$9:$W$13,0)),"")</f>
        <v/>
      </c>
      <c r="I10" s="1058">
        <f>IFERROR(INDEX($Z$9:$Z$13,MATCH(710,$W$9:$W$13,0)),"")</f>
        <v/>
      </c>
      <c r="K10" s="1059">
        <f>IFERROR(INDEX($Z$9:$Z$13,MATCH(809,$W$9:$W$13,0)),"")</f>
        <v/>
      </c>
      <c r="L10" s="1060">
        <f>IFERROR(INDEX($Z$9:$Z$13,MATCH(810,$W$9:$W$13,0)),"")</f>
        <v/>
      </c>
      <c r="W10">
        <f>IF(Y10=0,"",Y10*100+COUNTIFS($Y$9:$Y$13,Y10,$X$9:$X$13,"&lt;"&amp;X10)+COUNTIFS($Y$9:Y10,Y10,$X$9:X10,X10))</f>
        <v/>
      </c>
      <c r="X10">
        <f>IF('ข้อมูลนักเรียน'!S10="",0,DAY('ข้อมูลนักเรียน'!S10))</f>
        <v/>
      </c>
      <c r="Y10">
        <f>IF('ข้อมูลนักเรียน'!S10="",0,MONTH('ข้อมูลนักเรียน'!S10))</f>
        <v/>
      </c>
      <c r="Z10">
        <f>IF('ข้อมูลนักเรียน'!S10="","","• "&amp;DAY('ข้อมูลนักเรียน'!S10)&amp;"  "&amp;IF('ข้อมูลนักเรียน'!G10&lt;&gt;"",'ข้อมูลนักเรียน'!G10,'ข้อมูลนักเรียน'!E10))</f>
        <v/>
      </c>
    </row>
    <row r="11" ht="15" customHeight="1">
      <c r="B11" s="1053">
        <f>IFERROR(INDEX($Z$9:$Z$13,MATCH(511,$W$9:$W$13,0)),"")</f>
        <v/>
      </c>
      <c r="C11" s="1054">
        <f>IFERROR(INDEX($Z$9:$Z$13,MATCH(512,$W$9:$W$13,0)),"")</f>
        <v/>
      </c>
      <c r="E11" s="1055">
        <f>IFERROR(INDEX($Z$9:$Z$13,MATCH(611,$W$9:$W$13,0)),"")</f>
        <v/>
      </c>
      <c r="F11" s="1056">
        <f>IFERROR(INDEX($Z$9:$Z$13,MATCH(612,$W$9:$W$13,0)),"")</f>
        <v/>
      </c>
      <c r="H11" s="1057">
        <f>IFERROR(INDEX($Z$9:$Z$13,MATCH(711,$W$9:$W$13,0)),"")</f>
        <v/>
      </c>
      <c r="I11" s="1058">
        <f>IFERROR(INDEX($Z$9:$Z$13,MATCH(712,$W$9:$W$13,0)),"")</f>
        <v/>
      </c>
      <c r="K11" s="1059">
        <f>IFERROR(INDEX($Z$9:$Z$13,MATCH(811,$W$9:$W$13,0)),"")</f>
        <v/>
      </c>
      <c r="L11" s="1060">
        <f>IFERROR(INDEX($Z$9:$Z$13,MATCH(812,$W$9:$W$13,0)),"")</f>
        <v/>
      </c>
      <c r="W11">
        <f>IF(Y11=0,"",Y11*100+COUNTIFS($Y$9:$Y$13,Y11,$X$9:$X$13,"&lt;"&amp;X11)+COUNTIFS($Y$9:Y11,Y11,$X$9:X11,X11))</f>
        <v/>
      </c>
      <c r="X11">
        <f>IF('ข้อมูลนักเรียน'!S11="",0,DAY('ข้อมูลนักเรียน'!S11))</f>
        <v/>
      </c>
      <c r="Y11">
        <f>IF('ข้อมูลนักเรียน'!S11="",0,MONTH('ข้อมูลนักเรียน'!S11))</f>
        <v/>
      </c>
      <c r="Z11">
        <f>IF('ข้อมูลนักเรียน'!S11="","","• "&amp;DAY('ข้อมูลนักเรียน'!S11)&amp;"  "&amp;IF('ข้อมูลนักเรียน'!G11&lt;&gt;"",'ข้อมูลนักเรียน'!G11,'ข้อมูลนักเรียน'!E11))</f>
        <v/>
      </c>
    </row>
    <row r="12" ht="15" customHeight="1">
      <c r="B12" s="1053">
        <f>IFERROR(INDEX($Z$9:$Z$13,MATCH(513,$W$9:$W$13,0)),"")</f>
        <v/>
      </c>
      <c r="C12" s="1054">
        <f>IFERROR(INDEX($Z$9:$Z$13,MATCH(514,$W$9:$W$13,0)),"")</f>
        <v/>
      </c>
      <c r="E12" s="1055">
        <f>IFERROR(INDEX($Z$9:$Z$13,MATCH(613,$W$9:$W$13,0)),"")</f>
        <v/>
      </c>
      <c r="F12" s="1056">
        <f>IFERROR(INDEX($Z$9:$Z$13,MATCH(614,$W$9:$W$13,0)),"")</f>
        <v/>
      </c>
      <c r="H12" s="1057">
        <f>IFERROR(INDEX($Z$9:$Z$13,MATCH(713,$W$9:$W$13,0)),"")</f>
        <v/>
      </c>
      <c r="I12" s="1058">
        <f>IFERROR(INDEX($Z$9:$Z$13,MATCH(714,$W$9:$W$13,0)),"")</f>
        <v/>
      </c>
      <c r="K12" s="1059">
        <f>IFERROR(INDEX($Z$9:$Z$13,MATCH(813,$W$9:$W$13,0)),"")</f>
        <v/>
      </c>
      <c r="L12" s="1060">
        <f>IFERROR(INDEX($Z$9:$Z$13,MATCH(814,$W$9:$W$13,0)),"")</f>
        <v/>
      </c>
      <c r="W12">
        <f>IF(Y12=0,"",Y12*100+COUNTIFS($Y$9:$Y$13,Y12,$X$9:$X$13,"&lt;"&amp;X12)+COUNTIFS($Y$9:Y12,Y12,$X$9:X12,X12))</f>
        <v/>
      </c>
      <c r="X12">
        <f>IF('ข้อมูลนักเรียน'!S12="",0,DAY('ข้อมูลนักเรียน'!S12))</f>
        <v/>
      </c>
      <c r="Y12">
        <f>IF('ข้อมูลนักเรียน'!S12="",0,MONTH('ข้อมูลนักเรียน'!S12))</f>
        <v/>
      </c>
      <c r="Z12">
        <f>IF('ข้อมูลนักเรียน'!S12="","","• "&amp;DAY('ข้อมูลนักเรียน'!S12)&amp;"  "&amp;IF('ข้อมูลนักเรียน'!G12&lt;&gt;"",'ข้อมูลนักเรียน'!G12,'ข้อมูลนักเรียน'!E12))</f>
        <v/>
      </c>
    </row>
    <row r="13" ht="15" customHeight="1">
      <c r="B13" s="1053">
        <f>IFERROR(INDEX($Z$9:$Z$13,MATCH(515,$W$9:$W$13,0)),"")</f>
        <v/>
      </c>
      <c r="C13" s="1054">
        <f>IFERROR(INDEX($Z$9:$Z$13,MATCH(516,$W$9:$W$13,0)),"")</f>
        <v/>
      </c>
      <c r="E13" s="1055">
        <f>IFERROR(INDEX($Z$9:$Z$13,MATCH(615,$W$9:$W$13,0)),"")</f>
        <v/>
      </c>
      <c r="F13" s="1056">
        <f>IFERROR(INDEX($Z$9:$Z$13,MATCH(616,$W$9:$W$13,0)),"")</f>
        <v/>
      </c>
      <c r="H13" s="1057">
        <f>IFERROR(INDEX($Z$9:$Z$13,MATCH(715,$W$9:$W$13,0)),"")</f>
        <v/>
      </c>
      <c r="I13" s="1058">
        <f>IFERROR(INDEX($Z$9:$Z$13,MATCH(716,$W$9:$W$13,0)),"")</f>
        <v/>
      </c>
      <c r="K13" s="1059">
        <f>IFERROR(INDEX($Z$9:$Z$13,MATCH(815,$W$9:$W$13,0)),"")</f>
        <v/>
      </c>
      <c r="L13" s="1060">
        <f>IFERROR(INDEX($Z$9:$Z$13,MATCH(816,$W$9:$W$13,0)),"")</f>
        <v/>
      </c>
      <c r="W13">
        <f>IF(Y13=0,"",Y13*100+COUNTIFS($Y$9:$Y$13,Y13,$X$9:$X$13,"&lt;"&amp;X13)+COUNTIFS($Y$9:Y13,Y13,$X$9:X13,X13))</f>
        <v/>
      </c>
      <c r="X13">
        <f>IF('ข้อมูลนักเรียน'!S13="",0,DAY('ข้อมูลนักเรียน'!S13))</f>
        <v/>
      </c>
      <c r="Y13">
        <f>IF('ข้อมูลนักเรียน'!S13="",0,MONTH('ข้อมูลนักเรียน'!S13))</f>
        <v/>
      </c>
      <c r="Z13">
        <f>IF('ข้อมูลนักเรียน'!S13="","","• "&amp;DAY('ข้อมูลนักเรียน'!S13)&amp;"  "&amp;IF('ข้อมูลนักเรียน'!G13&lt;&gt;"",'ข้อมูลนักเรียน'!G13,'ข้อมูลนักเรียน'!E13))</f>
        <v/>
      </c>
    </row>
    <row r="14" ht="15" customHeight="1">
      <c r="B14" s="1053">
        <f>IFERROR(INDEX($Z$9:$Z$13,MATCH(517,$W$9:$W$13,0)),"")</f>
        <v/>
      </c>
      <c r="C14" s="1054">
        <f>IFERROR(INDEX($Z$9:$Z$13,MATCH(518,$W$9:$W$13,0)),"")</f>
        <v/>
      </c>
      <c r="E14" s="1055">
        <f>IFERROR(INDEX($Z$9:$Z$13,MATCH(617,$W$9:$W$13,0)),"")</f>
        <v/>
      </c>
      <c r="F14" s="1056">
        <f>IFERROR(INDEX($Z$9:$Z$13,MATCH(618,$W$9:$W$13,0)),"")</f>
        <v/>
      </c>
      <c r="H14" s="1057">
        <f>IFERROR(INDEX($Z$9:$Z$13,MATCH(717,$W$9:$W$13,0)),"")</f>
        <v/>
      </c>
      <c r="I14" s="1058">
        <f>IFERROR(INDEX($Z$9:$Z$13,MATCH(718,$W$9:$W$13,0)),"")</f>
        <v/>
      </c>
      <c r="K14" s="1059">
        <f>IFERROR(INDEX($Z$9:$Z$13,MATCH(817,$W$9:$W$13,0)),"")</f>
        <v/>
      </c>
      <c r="L14" s="1060">
        <f>IFERROR(INDEX($Z$9:$Z$13,MATCH(818,$W$9:$W$13,0)),"")</f>
        <v/>
      </c>
    </row>
    <row r="15" ht="15" customHeight="1">
      <c r="B15" s="1061">
        <f>IF(COUNTIF($Y$9:$Y$13,5)&gt;18,"และอีก "&amp;(COUNTIF($Y$9:$Y$13,5)-18)&amp;" คน","")</f>
        <v/>
      </c>
      <c r="C15" s="1062" t="n"/>
      <c r="E15" s="1063">
        <f>IF(COUNTIF($Y$9:$Y$13,6)&gt;18,"และอีก "&amp;(COUNTIF($Y$9:$Y$13,6)-18)&amp;" คน","")</f>
        <v/>
      </c>
      <c r="F15" s="1064" t="n"/>
      <c r="H15" s="1065">
        <f>IF(COUNTIF($Y$9:$Y$13,7)&gt;18,"และอีก "&amp;(COUNTIF($Y$9:$Y$13,7)-18)&amp;" คน","")</f>
        <v/>
      </c>
      <c r="I15" s="1066" t="n"/>
      <c r="K15" s="1067">
        <f>IF(COUNTIF($Y$9:$Y$13,8)&gt;18,"และอีก "&amp;(COUNTIF($Y$9:$Y$13,8)-18)&amp;" คน","")</f>
        <v/>
      </c>
      <c r="L15" s="1068" t="n"/>
    </row>
    <row r="16" ht="15" customHeight="1"/>
    <row r="17" ht="15" customHeight="1">
      <c r="B17" s="1069">
        <f>"กันยายน  ("&amp;COUNTIF($Y$9:$Y$13,9)&amp;" คน)"</f>
        <v/>
      </c>
      <c r="C17" s="1070" t="n"/>
      <c r="E17" s="1071">
        <f>"ตุลาคม  ("&amp;COUNTIF($Y$9:$Y$13,10)&amp;" คน)"</f>
        <v/>
      </c>
      <c r="F17" s="1072" t="n"/>
      <c r="H17" s="1073">
        <f>"พฤศจิกายน  ("&amp;COUNTIF($Y$9:$Y$13,11)&amp;" คน)"</f>
        <v/>
      </c>
      <c r="I17" s="1074" t="n"/>
      <c r="K17" s="1075">
        <f>"ธันวาคม  ("&amp;COUNTIF($Y$9:$Y$13,12)&amp;" คน)"</f>
        <v/>
      </c>
      <c r="L17" s="1076" t="n"/>
    </row>
    <row r="18" ht="15" customHeight="1">
      <c r="B18" s="1077">
        <f>IFERROR(INDEX($Z$9:$Z$13,MATCH(901,$W$9:$W$13,0)),"")</f>
        <v/>
      </c>
      <c r="C18" s="1078">
        <f>IFERROR(INDEX($Z$9:$Z$13,MATCH(902,$W$9:$W$13,0)),"")</f>
        <v/>
      </c>
      <c r="E18" s="1079">
        <f>IFERROR(INDEX($Z$9:$Z$13,MATCH(1001,$W$9:$W$13,0)),"")</f>
        <v/>
      </c>
      <c r="F18" s="1080">
        <f>IFERROR(INDEX($Z$9:$Z$13,MATCH(1002,$W$9:$W$13,0)),"")</f>
        <v/>
      </c>
      <c r="H18" s="1081">
        <f>IFERROR(INDEX($Z$9:$Z$13,MATCH(1101,$W$9:$W$13,0)),"")</f>
        <v/>
      </c>
      <c r="I18" s="1082">
        <f>IFERROR(INDEX($Z$9:$Z$13,MATCH(1102,$W$9:$W$13,0)),"")</f>
        <v/>
      </c>
      <c r="K18" s="1083">
        <f>IFERROR(INDEX($Z$9:$Z$13,MATCH(1201,$W$9:$W$13,0)),"")</f>
        <v/>
      </c>
      <c r="L18" s="1084">
        <f>IFERROR(INDEX($Z$9:$Z$13,MATCH(1202,$W$9:$W$13,0)),"")</f>
        <v/>
      </c>
    </row>
    <row r="19" ht="15" customHeight="1">
      <c r="B19" s="1077">
        <f>IFERROR(INDEX($Z$9:$Z$13,MATCH(903,$W$9:$W$13,0)),"")</f>
        <v/>
      </c>
      <c r="C19" s="1078">
        <f>IFERROR(INDEX($Z$9:$Z$13,MATCH(904,$W$9:$W$13,0)),"")</f>
        <v/>
      </c>
      <c r="E19" s="1079">
        <f>IFERROR(INDEX($Z$9:$Z$13,MATCH(1003,$W$9:$W$13,0)),"")</f>
        <v/>
      </c>
      <c r="F19" s="1080">
        <f>IFERROR(INDEX($Z$9:$Z$13,MATCH(1004,$W$9:$W$13,0)),"")</f>
        <v/>
      </c>
      <c r="H19" s="1081">
        <f>IFERROR(INDEX($Z$9:$Z$13,MATCH(1103,$W$9:$W$13,0)),"")</f>
        <v/>
      </c>
      <c r="I19" s="1082">
        <f>IFERROR(INDEX($Z$9:$Z$13,MATCH(1104,$W$9:$W$13,0)),"")</f>
        <v/>
      </c>
      <c r="K19" s="1083">
        <f>IFERROR(INDEX($Z$9:$Z$13,MATCH(1203,$W$9:$W$13,0)),"")</f>
        <v/>
      </c>
      <c r="L19" s="1084">
        <f>IFERROR(INDEX($Z$9:$Z$13,MATCH(1204,$W$9:$W$13,0)),"")</f>
        <v/>
      </c>
    </row>
    <row r="20" ht="15" customHeight="1">
      <c r="B20" s="1077">
        <f>IFERROR(INDEX($Z$9:$Z$13,MATCH(905,$W$9:$W$13,0)),"")</f>
        <v/>
      </c>
      <c r="C20" s="1078">
        <f>IFERROR(INDEX($Z$9:$Z$13,MATCH(906,$W$9:$W$13,0)),"")</f>
        <v/>
      </c>
      <c r="E20" s="1079">
        <f>IFERROR(INDEX($Z$9:$Z$13,MATCH(1005,$W$9:$W$13,0)),"")</f>
        <v/>
      </c>
      <c r="F20" s="1080">
        <f>IFERROR(INDEX($Z$9:$Z$13,MATCH(1006,$W$9:$W$13,0)),"")</f>
        <v/>
      </c>
      <c r="H20" s="1081">
        <f>IFERROR(INDEX($Z$9:$Z$13,MATCH(1105,$W$9:$W$13,0)),"")</f>
        <v/>
      </c>
      <c r="I20" s="1082">
        <f>IFERROR(INDEX($Z$9:$Z$13,MATCH(1106,$W$9:$W$13,0)),"")</f>
        <v/>
      </c>
      <c r="K20" s="1083">
        <f>IFERROR(INDEX($Z$9:$Z$13,MATCH(1205,$W$9:$W$13,0)),"")</f>
        <v/>
      </c>
      <c r="L20" s="1084">
        <f>IFERROR(INDEX($Z$9:$Z$13,MATCH(1206,$W$9:$W$13,0)),"")</f>
        <v/>
      </c>
    </row>
    <row r="21" ht="15" customHeight="1">
      <c r="B21" s="1077">
        <f>IFERROR(INDEX($Z$9:$Z$13,MATCH(907,$W$9:$W$13,0)),"")</f>
        <v/>
      </c>
      <c r="C21" s="1078">
        <f>IFERROR(INDEX($Z$9:$Z$13,MATCH(908,$W$9:$W$13,0)),"")</f>
        <v/>
      </c>
      <c r="E21" s="1079">
        <f>IFERROR(INDEX($Z$9:$Z$13,MATCH(1007,$W$9:$W$13,0)),"")</f>
        <v/>
      </c>
      <c r="F21" s="1080">
        <f>IFERROR(INDEX($Z$9:$Z$13,MATCH(1008,$W$9:$W$13,0)),"")</f>
        <v/>
      </c>
      <c r="H21" s="1081">
        <f>IFERROR(INDEX($Z$9:$Z$13,MATCH(1107,$W$9:$W$13,0)),"")</f>
        <v/>
      </c>
      <c r="I21" s="1082">
        <f>IFERROR(INDEX($Z$9:$Z$13,MATCH(1108,$W$9:$W$13,0)),"")</f>
        <v/>
      </c>
      <c r="K21" s="1083">
        <f>IFERROR(INDEX($Z$9:$Z$13,MATCH(1207,$W$9:$W$13,0)),"")</f>
        <v/>
      </c>
      <c r="L21" s="1084">
        <f>IFERROR(INDEX($Z$9:$Z$13,MATCH(1208,$W$9:$W$13,0)),"")</f>
        <v/>
      </c>
    </row>
    <row r="22" ht="15" customHeight="1">
      <c r="B22" s="1077">
        <f>IFERROR(INDEX($Z$9:$Z$13,MATCH(909,$W$9:$W$13,0)),"")</f>
        <v/>
      </c>
      <c r="C22" s="1078">
        <f>IFERROR(INDEX($Z$9:$Z$13,MATCH(910,$W$9:$W$13,0)),"")</f>
        <v/>
      </c>
      <c r="E22" s="1079">
        <f>IFERROR(INDEX($Z$9:$Z$13,MATCH(1009,$W$9:$W$13,0)),"")</f>
        <v/>
      </c>
      <c r="F22" s="1080">
        <f>IFERROR(INDEX($Z$9:$Z$13,MATCH(1010,$W$9:$W$13,0)),"")</f>
        <v/>
      </c>
      <c r="H22" s="1081">
        <f>IFERROR(INDEX($Z$9:$Z$13,MATCH(1109,$W$9:$W$13,0)),"")</f>
        <v/>
      </c>
      <c r="I22" s="1082">
        <f>IFERROR(INDEX($Z$9:$Z$13,MATCH(1110,$W$9:$W$13,0)),"")</f>
        <v/>
      </c>
      <c r="K22" s="1083">
        <f>IFERROR(INDEX($Z$9:$Z$13,MATCH(1209,$W$9:$W$13,0)),"")</f>
        <v/>
      </c>
      <c r="L22" s="1084">
        <f>IFERROR(INDEX($Z$9:$Z$13,MATCH(1210,$W$9:$W$13,0)),"")</f>
        <v/>
      </c>
    </row>
    <row r="23" ht="15" customHeight="1">
      <c r="B23" s="1077">
        <f>IFERROR(INDEX($Z$9:$Z$13,MATCH(911,$W$9:$W$13,0)),"")</f>
        <v/>
      </c>
      <c r="C23" s="1078">
        <f>IFERROR(INDEX($Z$9:$Z$13,MATCH(912,$W$9:$W$13,0)),"")</f>
        <v/>
      </c>
      <c r="E23" s="1079">
        <f>IFERROR(INDEX($Z$9:$Z$13,MATCH(1011,$W$9:$W$13,0)),"")</f>
        <v/>
      </c>
      <c r="F23" s="1080">
        <f>IFERROR(INDEX($Z$9:$Z$13,MATCH(1012,$W$9:$W$13,0)),"")</f>
        <v/>
      </c>
      <c r="H23" s="1081">
        <f>IFERROR(INDEX($Z$9:$Z$13,MATCH(1111,$W$9:$W$13,0)),"")</f>
        <v/>
      </c>
      <c r="I23" s="1082">
        <f>IFERROR(INDEX($Z$9:$Z$13,MATCH(1112,$W$9:$W$13,0)),"")</f>
        <v/>
      </c>
      <c r="K23" s="1083">
        <f>IFERROR(INDEX($Z$9:$Z$13,MATCH(1211,$W$9:$W$13,0)),"")</f>
        <v/>
      </c>
      <c r="L23" s="1084">
        <f>IFERROR(INDEX($Z$9:$Z$13,MATCH(1212,$W$9:$W$13,0)),"")</f>
        <v/>
      </c>
    </row>
    <row r="24" ht="15" customHeight="1">
      <c r="B24" s="1077">
        <f>IFERROR(INDEX($Z$9:$Z$13,MATCH(913,$W$9:$W$13,0)),"")</f>
        <v/>
      </c>
      <c r="C24" s="1078">
        <f>IFERROR(INDEX($Z$9:$Z$13,MATCH(914,$W$9:$W$13,0)),"")</f>
        <v/>
      </c>
      <c r="E24" s="1079">
        <f>IFERROR(INDEX($Z$9:$Z$13,MATCH(1013,$W$9:$W$13,0)),"")</f>
        <v/>
      </c>
      <c r="F24" s="1080">
        <f>IFERROR(INDEX($Z$9:$Z$13,MATCH(1014,$W$9:$W$13,0)),"")</f>
        <v/>
      </c>
      <c r="H24" s="1081">
        <f>IFERROR(INDEX($Z$9:$Z$13,MATCH(1113,$W$9:$W$13,0)),"")</f>
        <v/>
      </c>
      <c r="I24" s="1082">
        <f>IFERROR(INDEX($Z$9:$Z$13,MATCH(1114,$W$9:$W$13,0)),"")</f>
        <v/>
      </c>
      <c r="K24" s="1083">
        <f>IFERROR(INDEX($Z$9:$Z$13,MATCH(1213,$W$9:$W$13,0)),"")</f>
        <v/>
      </c>
      <c r="L24" s="1084">
        <f>IFERROR(INDEX($Z$9:$Z$13,MATCH(1214,$W$9:$W$13,0)),"")</f>
        <v/>
      </c>
    </row>
    <row r="25" ht="15" customHeight="1">
      <c r="B25" s="1077">
        <f>IFERROR(INDEX($Z$9:$Z$13,MATCH(915,$W$9:$W$13,0)),"")</f>
        <v/>
      </c>
      <c r="C25" s="1078">
        <f>IFERROR(INDEX($Z$9:$Z$13,MATCH(916,$W$9:$W$13,0)),"")</f>
        <v/>
      </c>
      <c r="E25" s="1079">
        <f>IFERROR(INDEX($Z$9:$Z$13,MATCH(1015,$W$9:$W$13,0)),"")</f>
        <v/>
      </c>
      <c r="F25" s="1080">
        <f>IFERROR(INDEX($Z$9:$Z$13,MATCH(1016,$W$9:$W$13,0)),"")</f>
        <v/>
      </c>
      <c r="H25" s="1081">
        <f>IFERROR(INDEX($Z$9:$Z$13,MATCH(1115,$W$9:$W$13,0)),"")</f>
        <v/>
      </c>
      <c r="I25" s="1082">
        <f>IFERROR(INDEX($Z$9:$Z$13,MATCH(1116,$W$9:$W$13,0)),"")</f>
        <v/>
      </c>
      <c r="K25" s="1083">
        <f>IFERROR(INDEX($Z$9:$Z$13,MATCH(1215,$W$9:$W$13,0)),"")</f>
        <v/>
      </c>
      <c r="L25" s="1084">
        <f>IFERROR(INDEX($Z$9:$Z$13,MATCH(1216,$W$9:$W$13,0)),"")</f>
        <v/>
      </c>
    </row>
    <row r="26" ht="15" customHeight="1">
      <c r="B26" s="1077">
        <f>IFERROR(INDEX($Z$9:$Z$13,MATCH(917,$W$9:$W$13,0)),"")</f>
        <v/>
      </c>
      <c r="C26" s="1078">
        <f>IFERROR(INDEX($Z$9:$Z$13,MATCH(918,$W$9:$W$13,0)),"")</f>
        <v/>
      </c>
      <c r="E26" s="1079">
        <f>IFERROR(INDEX($Z$9:$Z$13,MATCH(1017,$W$9:$W$13,0)),"")</f>
        <v/>
      </c>
      <c r="F26" s="1080">
        <f>IFERROR(INDEX($Z$9:$Z$13,MATCH(1018,$W$9:$W$13,0)),"")</f>
        <v/>
      </c>
      <c r="H26" s="1081">
        <f>IFERROR(INDEX($Z$9:$Z$13,MATCH(1117,$W$9:$W$13,0)),"")</f>
        <v/>
      </c>
      <c r="I26" s="1082">
        <f>IFERROR(INDEX($Z$9:$Z$13,MATCH(1118,$W$9:$W$13,0)),"")</f>
        <v/>
      </c>
      <c r="K26" s="1083">
        <f>IFERROR(INDEX($Z$9:$Z$13,MATCH(1217,$W$9:$W$13,0)),"")</f>
        <v/>
      </c>
      <c r="L26" s="1084">
        <f>IFERROR(INDEX($Z$9:$Z$13,MATCH(1218,$W$9:$W$13,0)),"")</f>
        <v/>
      </c>
    </row>
    <row r="27" ht="15" customHeight="1">
      <c r="B27" s="1085">
        <f>IF(COUNTIF($Y$9:$Y$13,9)&gt;18,"และอีก "&amp;(COUNTIF($Y$9:$Y$13,9)-18)&amp;" คน","")</f>
        <v/>
      </c>
      <c r="C27" s="1086" t="n"/>
      <c r="E27" s="1087">
        <f>IF(COUNTIF($Y$9:$Y$13,10)&gt;18,"และอีก "&amp;(COUNTIF($Y$9:$Y$13,10)-18)&amp;" คน","")</f>
        <v/>
      </c>
      <c r="F27" s="1088" t="n"/>
      <c r="H27" s="1089">
        <f>IF(COUNTIF($Y$9:$Y$13,11)&gt;18,"และอีก "&amp;(COUNTIF($Y$9:$Y$13,11)-18)&amp;" คน","")</f>
        <v/>
      </c>
      <c r="I27" s="1090" t="n"/>
      <c r="K27" s="1091">
        <f>IF(COUNTIF($Y$9:$Y$13,12)&gt;18,"และอีก "&amp;(COUNTIF($Y$9:$Y$13,12)-18)&amp;" คน","")</f>
        <v/>
      </c>
      <c r="L27" s="1092" t="n"/>
    </row>
    <row r="28" ht="15" customHeight="1"/>
    <row r="29" ht="15" customHeight="1">
      <c r="B29" s="1093">
        <f>"มกราคม  ("&amp;COUNTIF($Y$9:$Y$13,1)&amp;" คน)"</f>
        <v/>
      </c>
      <c r="C29" s="1094" t="n"/>
      <c r="E29" s="1095">
        <f>"กุมภาพันธ์  ("&amp;COUNTIF($Y$9:$Y$13,2)&amp;" คน)"</f>
        <v/>
      </c>
      <c r="F29" s="1096" t="n"/>
      <c r="H29" s="1097">
        <f>"มีนาคม  ("&amp;COUNTIF($Y$9:$Y$13,3)&amp;" คน)"</f>
        <v/>
      </c>
      <c r="I29" s="1098" t="n"/>
      <c r="K29" s="1099">
        <f>"เมษายน  ("&amp;COUNTIF($Y$9:$Y$13,4)&amp;" คน)"</f>
        <v/>
      </c>
      <c r="L29" s="1100" t="n"/>
    </row>
    <row r="30" ht="15" customHeight="1">
      <c r="B30" s="1101">
        <f>IFERROR(INDEX($Z$9:$Z$13,MATCH(101,$W$9:$W$13,0)),"")</f>
        <v/>
      </c>
      <c r="C30" s="1102">
        <f>IFERROR(INDEX($Z$9:$Z$13,MATCH(102,$W$9:$W$13,0)),"")</f>
        <v/>
      </c>
      <c r="E30" s="1103">
        <f>IFERROR(INDEX($Z$9:$Z$13,MATCH(201,$W$9:$W$13,0)),"")</f>
        <v/>
      </c>
      <c r="F30" s="1104">
        <f>IFERROR(INDEX($Z$9:$Z$13,MATCH(202,$W$9:$W$13,0)),"")</f>
        <v/>
      </c>
      <c r="H30" s="1105">
        <f>IFERROR(INDEX($Z$9:$Z$13,MATCH(301,$W$9:$W$13,0)),"")</f>
        <v/>
      </c>
      <c r="I30" s="1106">
        <f>IFERROR(INDEX($Z$9:$Z$13,MATCH(302,$W$9:$W$13,0)),"")</f>
        <v/>
      </c>
      <c r="K30" s="1107">
        <f>IFERROR(INDEX($Z$9:$Z$13,MATCH(401,$W$9:$W$13,0)),"")</f>
        <v/>
      </c>
      <c r="L30" s="1108">
        <f>IFERROR(INDEX($Z$9:$Z$13,MATCH(402,$W$9:$W$13,0)),"")</f>
        <v/>
      </c>
    </row>
    <row r="31" ht="15" customHeight="1">
      <c r="B31" s="1101">
        <f>IFERROR(INDEX($Z$9:$Z$13,MATCH(103,$W$9:$W$13,0)),"")</f>
        <v/>
      </c>
      <c r="C31" s="1102">
        <f>IFERROR(INDEX($Z$9:$Z$13,MATCH(104,$W$9:$W$13,0)),"")</f>
        <v/>
      </c>
      <c r="E31" s="1103">
        <f>IFERROR(INDEX($Z$9:$Z$13,MATCH(203,$W$9:$W$13,0)),"")</f>
        <v/>
      </c>
      <c r="F31" s="1104">
        <f>IFERROR(INDEX($Z$9:$Z$13,MATCH(204,$W$9:$W$13,0)),"")</f>
        <v/>
      </c>
      <c r="H31" s="1105">
        <f>IFERROR(INDEX($Z$9:$Z$13,MATCH(303,$W$9:$W$13,0)),"")</f>
        <v/>
      </c>
      <c r="I31" s="1106">
        <f>IFERROR(INDEX($Z$9:$Z$13,MATCH(304,$W$9:$W$13,0)),"")</f>
        <v/>
      </c>
      <c r="K31" s="1107">
        <f>IFERROR(INDEX($Z$9:$Z$13,MATCH(403,$W$9:$W$13,0)),"")</f>
        <v/>
      </c>
      <c r="L31" s="1108">
        <f>IFERROR(INDEX($Z$9:$Z$13,MATCH(404,$W$9:$W$13,0)),"")</f>
        <v/>
      </c>
    </row>
    <row r="32" ht="15" customHeight="1">
      <c r="B32" s="1101">
        <f>IFERROR(INDEX($Z$9:$Z$13,MATCH(105,$W$9:$W$13,0)),"")</f>
        <v/>
      </c>
      <c r="C32" s="1102">
        <f>IFERROR(INDEX($Z$9:$Z$13,MATCH(106,$W$9:$W$13,0)),"")</f>
        <v/>
      </c>
      <c r="E32" s="1103">
        <f>IFERROR(INDEX($Z$9:$Z$13,MATCH(205,$W$9:$W$13,0)),"")</f>
        <v/>
      </c>
      <c r="F32" s="1104">
        <f>IFERROR(INDEX($Z$9:$Z$13,MATCH(206,$W$9:$W$13,0)),"")</f>
        <v/>
      </c>
      <c r="H32" s="1105">
        <f>IFERROR(INDEX($Z$9:$Z$13,MATCH(305,$W$9:$W$13,0)),"")</f>
        <v/>
      </c>
      <c r="I32" s="1106">
        <f>IFERROR(INDEX($Z$9:$Z$13,MATCH(306,$W$9:$W$13,0)),"")</f>
        <v/>
      </c>
      <c r="K32" s="1107">
        <f>IFERROR(INDEX($Z$9:$Z$13,MATCH(405,$W$9:$W$13,0)),"")</f>
        <v/>
      </c>
      <c r="L32" s="1108">
        <f>IFERROR(INDEX($Z$9:$Z$13,MATCH(406,$W$9:$W$13,0)),"")</f>
        <v/>
      </c>
    </row>
    <row r="33" ht="15" customHeight="1">
      <c r="B33" s="1101">
        <f>IFERROR(INDEX($Z$9:$Z$13,MATCH(107,$W$9:$W$13,0)),"")</f>
        <v/>
      </c>
      <c r="C33" s="1102">
        <f>IFERROR(INDEX($Z$9:$Z$13,MATCH(108,$W$9:$W$13,0)),"")</f>
        <v/>
      </c>
      <c r="E33" s="1103">
        <f>IFERROR(INDEX($Z$9:$Z$13,MATCH(207,$W$9:$W$13,0)),"")</f>
        <v/>
      </c>
      <c r="F33" s="1104">
        <f>IFERROR(INDEX($Z$9:$Z$13,MATCH(208,$W$9:$W$13,0)),"")</f>
        <v/>
      </c>
      <c r="H33" s="1105">
        <f>IFERROR(INDEX($Z$9:$Z$13,MATCH(307,$W$9:$W$13,0)),"")</f>
        <v/>
      </c>
      <c r="I33" s="1106">
        <f>IFERROR(INDEX($Z$9:$Z$13,MATCH(308,$W$9:$W$13,0)),"")</f>
        <v/>
      </c>
      <c r="K33" s="1107">
        <f>IFERROR(INDEX($Z$9:$Z$13,MATCH(407,$W$9:$W$13,0)),"")</f>
        <v/>
      </c>
      <c r="L33" s="1108">
        <f>IFERROR(INDEX($Z$9:$Z$13,MATCH(408,$W$9:$W$13,0)),"")</f>
        <v/>
      </c>
    </row>
    <row r="34" ht="15" customHeight="1">
      <c r="B34" s="1101">
        <f>IFERROR(INDEX($Z$9:$Z$13,MATCH(109,$W$9:$W$13,0)),"")</f>
        <v/>
      </c>
      <c r="C34" s="1102">
        <f>IFERROR(INDEX($Z$9:$Z$13,MATCH(110,$W$9:$W$13,0)),"")</f>
        <v/>
      </c>
      <c r="E34" s="1103">
        <f>IFERROR(INDEX($Z$9:$Z$13,MATCH(209,$W$9:$W$13,0)),"")</f>
        <v/>
      </c>
      <c r="F34" s="1104">
        <f>IFERROR(INDEX($Z$9:$Z$13,MATCH(210,$W$9:$W$13,0)),"")</f>
        <v/>
      </c>
      <c r="H34" s="1105">
        <f>IFERROR(INDEX($Z$9:$Z$13,MATCH(309,$W$9:$W$13,0)),"")</f>
        <v/>
      </c>
      <c r="I34" s="1106">
        <f>IFERROR(INDEX($Z$9:$Z$13,MATCH(310,$W$9:$W$13,0)),"")</f>
        <v/>
      </c>
      <c r="K34" s="1107">
        <f>IFERROR(INDEX($Z$9:$Z$13,MATCH(409,$W$9:$W$13,0)),"")</f>
        <v/>
      </c>
      <c r="L34" s="1108">
        <f>IFERROR(INDEX($Z$9:$Z$13,MATCH(410,$W$9:$W$13,0)),"")</f>
        <v/>
      </c>
    </row>
    <row r="35" ht="15" customHeight="1">
      <c r="B35" s="1101">
        <f>IFERROR(INDEX($Z$9:$Z$13,MATCH(111,$W$9:$W$13,0)),"")</f>
        <v/>
      </c>
      <c r="C35" s="1102">
        <f>IFERROR(INDEX($Z$9:$Z$13,MATCH(112,$W$9:$W$13,0)),"")</f>
        <v/>
      </c>
      <c r="E35" s="1103">
        <f>IFERROR(INDEX($Z$9:$Z$13,MATCH(211,$W$9:$W$13,0)),"")</f>
        <v/>
      </c>
      <c r="F35" s="1104">
        <f>IFERROR(INDEX($Z$9:$Z$13,MATCH(212,$W$9:$W$13,0)),"")</f>
        <v/>
      </c>
      <c r="H35" s="1105">
        <f>IFERROR(INDEX($Z$9:$Z$13,MATCH(311,$W$9:$W$13,0)),"")</f>
        <v/>
      </c>
      <c r="I35" s="1106">
        <f>IFERROR(INDEX($Z$9:$Z$13,MATCH(312,$W$9:$W$13,0)),"")</f>
        <v/>
      </c>
      <c r="K35" s="1107">
        <f>IFERROR(INDEX($Z$9:$Z$13,MATCH(411,$W$9:$W$13,0)),"")</f>
        <v/>
      </c>
      <c r="L35" s="1108">
        <f>IFERROR(INDEX($Z$9:$Z$13,MATCH(412,$W$9:$W$13,0)),"")</f>
        <v/>
      </c>
    </row>
    <row r="36" ht="15" customHeight="1">
      <c r="B36" s="1101">
        <f>IFERROR(INDEX($Z$9:$Z$13,MATCH(113,$W$9:$W$13,0)),"")</f>
        <v/>
      </c>
      <c r="C36" s="1102">
        <f>IFERROR(INDEX($Z$9:$Z$13,MATCH(114,$W$9:$W$13,0)),"")</f>
        <v/>
      </c>
      <c r="E36" s="1103">
        <f>IFERROR(INDEX($Z$9:$Z$13,MATCH(213,$W$9:$W$13,0)),"")</f>
        <v/>
      </c>
      <c r="F36" s="1104">
        <f>IFERROR(INDEX($Z$9:$Z$13,MATCH(214,$W$9:$W$13,0)),"")</f>
        <v/>
      </c>
      <c r="H36" s="1105">
        <f>IFERROR(INDEX($Z$9:$Z$13,MATCH(313,$W$9:$W$13,0)),"")</f>
        <v/>
      </c>
      <c r="I36" s="1106">
        <f>IFERROR(INDEX($Z$9:$Z$13,MATCH(314,$W$9:$W$13,0)),"")</f>
        <v/>
      </c>
      <c r="K36" s="1107">
        <f>IFERROR(INDEX($Z$9:$Z$13,MATCH(413,$W$9:$W$13,0)),"")</f>
        <v/>
      </c>
      <c r="L36" s="1108">
        <f>IFERROR(INDEX($Z$9:$Z$13,MATCH(414,$W$9:$W$13,0)),"")</f>
        <v/>
      </c>
    </row>
    <row r="37" ht="15" customHeight="1">
      <c r="B37" s="1101">
        <f>IFERROR(INDEX($Z$9:$Z$13,MATCH(115,$W$9:$W$13,0)),"")</f>
        <v/>
      </c>
      <c r="C37" s="1102">
        <f>IFERROR(INDEX($Z$9:$Z$13,MATCH(116,$W$9:$W$13,0)),"")</f>
        <v/>
      </c>
      <c r="E37" s="1103">
        <f>IFERROR(INDEX($Z$9:$Z$13,MATCH(215,$W$9:$W$13,0)),"")</f>
        <v/>
      </c>
      <c r="F37" s="1104">
        <f>IFERROR(INDEX($Z$9:$Z$13,MATCH(216,$W$9:$W$13,0)),"")</f>
        <v/>
      </c>
      <c r="H37" s="1105">
        <f>IFERROR(INDEX($Z$9:$Z$13,MATCH(315,$W$9:$W$13,0)),"")</f>
        <v/>
      </c>
      <c r="I37" s="1106">
        <f>IFERROR(INDEX($Z$9:$Z$13,MATCH(316,$W$9:$W$13,0)),"")</f>
        <v/>
      </c>
      <c r="K37" s="1107">
        <f>IFERROR(INDEX($Z$9:$Z$13,MATCH(415,$W$9:$W$13,0)),"")</f>
        <v/>
      </c>
      <c r="L37" s="1108">
        <f>IFERROR(INDEX($Z$9:$Z$13,MATCH(416,$W$9:$W$13,0)),"")</f>
        <v/>
      </c>
    </row>
    <row r="38" ht="15" customHeight="1">
      <c r="B38" s="1101">
        <f>IFERROR(INDEX($Z$9:$Z$13,MATCH(117,$W$9:$W$13,0)),"")</f>
        <v/>
      </c>
      <c r="C38" s="1102">
        <f>IFERROR(INDEX($Z$9:$Z$13,MATCH(118,$W$9:$W$13,0)),"")</f>
        <v/>
      </c>
      <c r="E38" s="1103">
        <f>IFERROR(INDEX($Z$9:$Z$13,MATCH(217,$W$9:$W$13,0)),"")</f>
        <v/>
      </c>
      <c r="F38" s="1104">
        <f>IFERROR(INDEX($Z$9:$Z$13,MATCH(218,$W$9:$W$13,0)),"")</f>
        <v/>
      </c>
      <c r="H38" s="1105">
        <f>IFERROR(INDEX($Z$9:$Z$13,MATCH(317,$W$9:$W$13,0)),"")</f>
        <v/>
      </c>
      <c r="I38" s="1106">
        <f>IFERROR(INDEX($Z$9:$Z$13,MATCH(318,$W$9:$W$13,0)),"")</f>
        <v/>
      </c>
      <c r="K38" s="1107">
        <f>IFERROR(INDEX($Z$9:$Z$13,MATCH(417,$W$9:$W$13,0)),"")</f>
        <v/>
      </c>
      <c r="L38" s="1108">
        <f>IFERROR(INDEX($Z$9:$Z$13,MATCH(418,$W$9:$W$13,0)),"")</f>
        <v/>
      </c>
    </row>
    <row r="39" ht="15" customHeight="1">
      <c r="B39" s="1109">
        <f>IF(COUNTIF($Y$9:$Y$13,1)&gt;18,"และอีก "&amp;(COUNTIF($Y$9:$Y$13,1)-18)&amp;" คน","")</f>
        <v/>
      </c>
      <c r="C39" s="967" t="n"/>
      <c r="E39" s="1110">
        <f>IF(COUNTIF($Y$9:$Y$13,2)&gt;18,"และอีก "&amp;(COUNTIF($Y$9:$Y$13,2)-18)&amp;" คน","")</f>
        <v/>
      </c>
      <c r="F39" s="1111" t="n"/>
      <c r="H39" s="1112">
        <f>IF(COUNTIF($Y$9:$Y$13,3)&gt;18,"และอีก "&amp;(COUNTIF($Y$9:$Y$13,3)-18)&amp;" คน","")</f>
        <v/>
      </c>
      <c r="I39" s="1113" t="n"/>
      <c r="K39" s="1114">
        <f>IF(COUNTIF($Y$9:$Y$13,4)&gt;18,"และอีก "&amp;(COUNTIF($Y$9:$Y$13,4)-18)&amp;" คน","")</f>
        <v/>
      </c>
      <c r="L39" s="1010" t="n"/>
    </row>
    <row r="40" ht="15" customHeight="1"/>
    <row r="41"/>
    <row r="42">
      <c r="B42" s="1115" t="inlineStr">
        <is>
          <t>ข้อมูลจากวันเกิดในทะเบียนนักเรียน • เรียงตามวันที่ • หัวการ์ดสีเข้ม = เดือนปัจจุบัน • ใช้ติดบอร์ดหน้าห้องได้ (กด Ctrl + P)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24">
    <mergeCell ref="H29:I29"/>
    <mergeCell ref="K15:L15"/>
    <mergeCell ref="E5:F5"/>
    <mergeCell ref="K5:L5"/>
    <mergeCell ref="B27:C27"/>
    <mergeCell ref="E17:F17"/>
    <mergeCell ref="E39:F39"/>
    <mergeCell ref="B39:C39"/>
    <mergeCell ref="H39:I39"/>
    <mergeCell ref="K29:L29"/>
    <mergeCell ref="E29:F29"/>
    <mergeCell ref="B17:C17"/>
    <mergeCell ref="H17:I17"/>
    <mergeCell ref="B29:C29"/>
    <mergeCell ref="E15:F15"/>
    <mergeCell ref="E27:F27"/>
    <mergeCell ref="K27:L27"/>
    <mergeCell ref="K39:L39"/>
    <mergeCell ref="H27:I27"/>
    <mergeCell ref="K17:L17"/>
    <mergeCell ref="B15:C15"/>
    <mergeCell ref="B5:C5"/>
    <mergeCell ref="H15:I15"/>
    <mergeCell ref="H5:I5"/>
  </mergeCells>
  <conditionalFormatting sqref="B5:C5">
    <cfRule type="expression" priority="1" dxfId="23">
      <formula>MONTH(TODAY())=5</formula>
    </cfRule>
  </conditionalFormatting>
  <conditionalFormatting sqref="E5:F5">
    <cfRule type="expression" priority="2" dxfId="23">
      <formula>MONTH(TODAY())=6</formula>
    </cfRule>
  </conditionalFormatting>
  <conditionalFormatting sqref="H5:I5">
    <cfRule type="expression" priority="3" dxfId="23">
      <formula>MONTH(TODAY())=7</formula>
    </cfRule>
  </conditionalFormatting>
  <conditionalFormatting sqref="K5:L5">
    <cfRule type="expression" priority="4" dxfId="23">
      <formula>MONTH(TODAY())=8</formula>
    </cfRule>
  </conditionalFormatting>
  <conditionalFormatting sqref="B17:C17">
    <cfRule type="expression" priority="5" dxfId="23">
      <formula>MONTH(TODAY())=9</formula>
    </cfRule>
  </conditionalFormatting>
  <conditionalFormatting sqref="E17:F17">
    <cfRule type="expression" priority="6" dxfId="23">
      <formula>MONTH(TODAY())=10</formula>
    </cfRule>
  </conditionalFormatting>
  <conditionalFormatting sqref="H17:I17">
    <cfRule type="expression" priority="7" dxfId="23">
      <formula>MONTH(TODAY())=11</formula>
    </cfRule>
  </conditionalFormatting>
  <conditionalFormatting sqref="K17:L17">
    <cfRule type="expression" priority="8" dxfId="23">
      <formula>MONTH(TODAY())=12</formula>
    </cfRule>
  </conditionalFormatting>
  <conditionalFormatting sqref="B29:C29">
    <cfRule type="expression" priority="9" dxfId="23">
      <formula>MONTH(TODAY())=1</formula>
    </cfRule>
  </conditionalFormatting>
  <conditionalFormatting sqref="E29:F29">
    <cfRule type="expression" priority="10" dxfId="23">
      <formula>MONTH(TODAY())=2</formula>
    </cfRule>
  </conditionalFormatting>
  <conditionalFormatting sqref="H29:I29">
    <cfRule type="expression" priority="11" dxfId="23">
      <formula>MONTH(TODAY())=3</formula>
    </cfRule>
  </conditionalFormatting>
  <conditionalFormatting sqref="K29:L29">
    <cfRule type="expression" priority="12" dxfId="23">
      <formula>MONTH(TODAY())=4</formula>
    </cfRule>
  </conditionalFormatting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portrait" paperSize="9" fitToHeight="1" fitToWidth="1"/>
  <drawing xmlns:r="http://schemas.openxmlformats.org/officeDocument/2006/relationships" r:id="rId1"/>
</worksheet>
</file>

<file path=xl/worksheets/sheet54.xml><?xml version="1.0" encoding="utf-8"?>
<worksheet xmlns="http://schemas.openxmlformats.org/spreadsheetml/2006/main">
  <sheetPr>
    <tabColor rgb="00AAB0B6"/>
    <outlinePr summaryBelow="1" summaryRight="1"/>
    <pageSetUpPr fitToPage="1"/>
  </sheetPr>
  <dimension ref="A1:U10"/>
  <sheetViews>
    <sheetView tabSelected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12" customWidth="1" min="18" max="18"/>
    <col width="3" customWidth="1" min="19" max="19"/>
    <col width="14" customWidth="1" min="20" max="20"/>
    <col width="40" customWidth="1" min="21" max="21"/>
  </cols>
  <sheetData>
    <row r="1" ht="26" customHeight="1">
      <c r="A1" s="1116">
        <f>$U$3&amp;""</f>
        <v/>
      </c>
      <c r="T1" s="1117" t="inlineStr">
        <is>
          <t>ตั้งค่าใบรายชื่อ</t>
        </is>
      </c>
    </row>
    <row r="2">
      <c r="A2" s="111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</row>
    <row r="3">
      <c r="T3" s="1119" t="inlineStr">
        <is>
          <t>หัวเรื่อง</t>
        </is>
      </c>
      <c r="U3" s="1120" t="inlineStr">
        <is>
          <t>แบบบันทึก ...................................................</t>
        </is>
      </c>
    </row>
    <row r="4">
      <c r="A4" s="1121" t="inlineStr">
        <is>
          <t>เลขที่</t>
        </is>
      </c>
      <c r="B4" s="1121" t="inlineStr">
        <is>
          <t>ชื่อ - สกุล</t>
        </is>
      </c>
      <c r="C4" s="1121">
        <f>$U$4&amp;""</f>
        <v/>
      </c>
      <c r="R4" s="1121" t="inlineStr">
        <is>
          <t>หมายเหตุ</t>
        </is>
      </c>
      <c r="T4" s="1119" t="inlineStr">
        <is>
          <t>หัวคอลัมน์</t>
        </is>
      </c>
      <c r="U4" s="1120" t="inlineStr">
        <is>
          <t>วันที่ / ครั้งที่</t>
        </is>
      </c>
    </row>
    <row r="5">
      <c r="C5" s="1122" t="n"/>
      <c r="D5" s="1122" t="n"/>
      <c r="E5" s="1122" t="n"/>
      <c r="F5" s="1122" t="n"/>
      <c r="G5" s="1122" t="n"/>
      <c r="H5" s="1122" t="n"/>
      <c r="I5" s="1122" t="n"/>
      <c r="J5" s="1122" t="n"/>
      <c r="K5" s="1122" t="n"/>
      <c r="L5" s="1122" t="n"/>
      <c r="M5" s="1122" t="n"/>
      <c r="N5" s="1122" t="n"/>
      <c r="O5" s="1122" t="n"/>
      <c r="P5" s="1122" t="n"/>
      <c r="Q5" s="1122" t="n"/>
      <c r="T5" s="189" t="inlineStr"/>
    </row>
    <row r="6" ht="17" customHeight="1">
      <c r="A6" s="157" t="n">
        <v>1</v>
      </c>
      <c r="B6" s="242">
        <f>'ข้อมูลนักเรียน'!T9</f>
        <v/>
      </c>
      <c r="C6" s="157" t="n"/>
      <c r="D6" s="157" t="n"/>
      <c r="E6" s="157" t="n"/>
      <c r="F6" s="157" t="n"/>
      <c r="G6" s="157" t="n"/>
      <c r="H6" s="157" t="n"/>
      <c r="I6" s="157" t="n"/>
      <c r="J6" s="157" t="n"/>
      <c r="K6" s="157" t="n"/>
      <c r="L6" s="157" t="n"/>
      <c r="M6" s="157" t="n"/>
      <c r="N6" s="157" t="n"/>
      <c r="O6" s="157" t="n"/>
      <c r="P6" s="157" t="n"/>
      <c r="Q6" s="157" t="n"/>
      <c r="R6" s="157" t="n"/>
      <c r="T6" s="189" t="inlineStr">
        <is>
          <t>ใช้เป็นใบเช็คงาน ใบส่งการบ้าน</t>
        </is>
      </c>
    </row>
    <row r="7" ht="17" customHeight="1">
      <c r="A7" s="157" t="n">
        <v>2</v>
      </c>
      <c r="B7" s="242">
        <f>'ข้อมูลนักเรียน'!T10</f>
        <v/>
      </c>
      <c r="C7" s="1123" t="n"/>
      <c r="D7" s="1123" t="n"/>
      <c r="E7" s="1123" t="n"/>
      <c r="F7" s="1123" t="n"/>
      <c r="G7" s="1123" t="n"/>
      <c r="H7" s="1123" t="n"/>
      <c r="I7" s="1123" t="n"/>
      <c r="J7" s="1123" t="n"/>
      <c r="K7" s="1123" t="n"/>
      <c r="L7" s="1123" t="n"/>
      <c r="M7" s="1123" t="n"/>
      <c r="N7" s="1123" t="n"/>
      <c r="O7" s="1123" t="n"/>
      <c r="P7" s="1123" t="n"/>
      <c r="Q7" s="1123" t="n"/>
      <c r="R7" s="1123" t="n"/>
      <c r="T7" s="189" t="inlineStr">
        <is>
          <t>ใบลงชื่อกิจกรรม ฯลฯ  กด Ctrl + P</t>
        </is>
      </c>
    </row>
    <row r="8" ht="17" customHeight="1">
      <c r="A8" s="157" t="n">
        <v>3</v>
      </c>
      <c r="B8" s="242">
        <f>'ข้อมูลนักเรียน'!T11</f>
        <v/>
      </c>
      <c r="C8" s="157" t="n"/>
      <c r="D8" s="157" t="n"/>
      <c r="E8" s="157" t="n"/>
      <c r="F8" s="157" t="n"/>
      <c r="G8" s="157" t="n"/>
      <c r="H8" s="157" t="n"/>
      <c r="I8" s="157" t="n"/>
      <c r="J8" s="157" t="n"/>
      <c r="K8" s="157" t="n"/>
      <c r="L8" s="157" t="n"/>
      <c r="M8" s="157" t="n"/>
      <c r="N8" s="157" t="n"/>
      <c r="O8" s="157" t="n"/>
      <c r="P8" s="157" t="n"/>
      <c r="Q8" s="157" t="n"/>
      <c r="R8" s="157" t="n"/>
    </row>
    <row r="9" ht="17" customHeight="1">
      <c r="A9" s="157" t="n">
        <v>4</v>
      </c>
      <c r="B9" s="242">
        <f>'ข้อมูลนักเรียน'!T12</f>
        <v/>
      </c>
      <c r="C9" s="1123" t="n"/>
      <c r="D9" s="1123" t="n"/>
      <c r="E9" s="1123" t="n"/>
      <c r="F9" s="1123" t="n"/>
      <c r="G9" s="1123" t="n"/>
      <c r="H9" s="1123" t="n"/>
      <c r="I9" s="1123" t="n"/>
      <c r="J9" s="1123" t="n"/>
      <c r="K9" s="1123" t="n"/>
      <c r="L9" s="1123" t="n"/>
      <c r="M9" s="1123" t="n"/>
      <c r="N9" s="1123" t="n"/>
      <c r="O9" s="1123" t="n"/>
      <c r="P9" s="1123" t="n"/>
      <c r="Q9" s="1123" t="n"/>
      <c r="R9" s="1123" t="n"/>
      <c r="T9" s="1124" t="inlineStr">
        <is>
          <t>🏠 กลับหน้าหลัก</t>
        </is>
      </c>
    </row>
    <row r="10" ht="17" customHeight="1">
      <c r="A10" s="157" t="n">
        <v>5</v>
      </c>
      <c r="B10" s="242">
        <f>'ข้อมูลนักเรียน'!T13</f>
        <v/>
      </c>
      <c r="C10" s="157" t="n"/>
      <c r="D10" s="157" t="n"/>
      <c r="E10" s="157" t="n"/>
      <c r="F10" s="157" t="n"/>
      <c r="G10" s="157" t="n"/>
      <c r="H10" s="157" t="n"/>
      <c r="I10" s="157" t="n"/>
      <c r="J10" s="157" t="n"/>
      <c r="K10" s="157" t="n"/>
      <c r="L10" s="157" t="n"/>
      <c r="M10" s="157" t="n"/>
      <c r="N10" s="157" t="n"/>
      <c r="O10" s="157" t="n"/>
      <c r="P10" s="157" t="n"/>
      <c r="Q10" s="157" t="n"/>
      <c r="R10" s="15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6">
    <mergeCell ref="B4:B5"/>
    <mergeCell ref="R4:R5"/>
    <mergeCell ref="A2:R2"/>
    <mergeCell ref="A4:A5"/>
    <mergeCell ref="A1:R1"/>
    <mergeCell ref="C4:Q4"/>
  </mergeCells>
  <hyperlinks>
    <hyperlink ref="T9" location="'หน้าหลัก'!A1" display="🏠 กลับหน้าหลัก"/>
  </hyperlinks>
  <pageMargins left="0.35" right="0.35" top="0.45" bottom="0.45" header="0.5" footer="0.5"/>
  <pageSetup orientation="portrait" paperSize="9" fitToHeight="1" fitToWidth="1"/>
</worksheet>
</file>

<file path=xl/worksheets/sheet55.xml><?xml version="1.0" encoding="utf-8"?>
<worksheet xmlns="http://schemas.openxmlformats.org/spreadsheetml/2006/main">
  <sheetPr>
    <tabColor rgb="00646669"/>
    <outlinePr summaryBelow="1" summaryRight="1"/>
    <pageSetUpPr fitToPage="1"/>
  </sheetPr>
  <dimension ref="A1:U18"/>
  <sheetViews>
    <sheetView tabSelected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4" customWidth="1" min="3" max="3"/>
    <col width="8" customWidth="1" min="4" max="4"/>
    <col width="12" customWidth="1" min="5" max="5"/>
    <col width="13" customWidth="1" min="6" max="6"/>
    <col width="8" customWidth="1" min="7" max="7"/>
    <col width="6" customWidth="1" min="8" max="8"/>
    <col width="10" customWidth="1" min="9" max="9"/>
    <col width="7" customWidth="1" min="10" max="10"/>
    <col width="2" customWidth="1" min="11" max="11"/>
    <col width="6" customWidth="1" min="12" max="12"/>
    <col width="13" customWidth="1" min="13" max="13"/>
    <col width="18" customWidth="1" min="14" max="14"/>
    <col width="8" customWidth="1" min="15" max="15"/>
    <col width="12" customWidth="1" min="16" max="16"/>
    <col width="22" customWidth="1" min="17" max="17"/>
    <col width="12" customWidth="1" min="18" max="18"/>
    <col width="2" customWidth="1" min="19" max="19"/>
    <col width="12" customWidth="1" min="20" max="20"/>
    <col width="6" customWidth="1" min="21" max="21"/>
  </cols>
  <sheetData>
    <row r="1" ht="48" customHeight="1">
      <c r="A1" s="1125" t="inlineStr">
        <is>
          <t>🏠</t>
        </is>
      </c>
      <c r="B1" s="1126" t="n"/>
      <c r="C1" s="1126" t="n"/>
      <c r="D1" s="1126" t="n"/>
      <c r="E1" s="1126" t="n"/>
      <c r="F1" s="1126" t="n"/>
      <c r="G1" s="1126" t="n"/>
      <c r="H1" s="1126" t="n"/>
      <c r="I1" s="1126" t="n"/>
      <c r="J1" s="1126" t="n"/>
      <c r="K1" s="1126" t="n"/>
      <c r="L1" s="1126" t="n"/>
      <c r="M1" s="1126" t="n"/>
      <c r="N1" s="1126" t="n"/>
      <c r="O1" s="1126" t="n"/>
      <c r="P1" s="1126" t="n"/>
      <c r="Q1" s="1126" t="n"/>
      <c r="R1" s="1126" t="n"/>
      <c r="S1" s="1126" t="n"/>
      <c r="T1" s="1126" t="n"/>
      <c r="U1" s="1126" t="n"/>
    </row>
    <row r="2" ht="20" customHeight="1">
      <c r="A2" s="1127" t="inlineStr">
        <is>
          <t>หน้าหลัก</t>
        </is>
      </c>
      <c r="B2" s="1128">
        <f>"โรงเรียน"&amp;'ข้อมูลโรงเรียน'!$C$5&amp;"   ชั้น"&amp;'ข้อมูลโรงเรียน'!$C$7&amp;"/"&amp;'ข้อมูลโรงเรียน'!$C$8&amp;"   ปีการศึกษา "&amp;'ข้อมูลโรงเรียน'!$C$12&amp;"   ครูประจำชั้น "&amp;'ข้อมูลโรงเรียน'!$C$9</f>
        <v/>
      </c>
      <c r="C2" s="1129" t="n"/>
      <c r="D2" s="1129" t="n"/>
      <c r="E2" s="1129" t="n"/>
      <c r="F2" s="1129" t="n"/>
      <c r="G2" s="1129" t="n"/>
      <c r="H2" s="1129" t="n"/>
      <c r="I2" s="1129" t="n"/>
      <c r="J2" s="1129" t="n"/>
      <c r="K2" s="1129" t="n"/>
      <c r="L2" s="1129" t="n"/>
      <c r="M2" s="1129" t="n"/>
      <c r="N2" s="1129" t="n"/>
      <c r="O2" s="1129" t="n"/>
      <c r="P2" s="1129" t="n"/>
      <c r="Q2" s="1129" t="n"/>
      <c r="R2" s="1129" t="n"/>
      <c r="S2" s="1129" t="n"/>
      <c r="T2" s="1129" t="n"/>
      <c r="U2" s="1129" t="n"/>
    </row>
    <row r="3">
      <c r="B3" s="1130" t="inlineStr">
        <is>
          <t>วิธีใช้ (ทำตอนปิดปีการศึกษา)</t>
        </is>
      </c>
    </row>
    <row r="4">
      <c r="B4" s="189" t="inlineStr">
        <is>
          <t>1) เปิดไฟล์ระบบธุรการฉบับใหม่ (ไฟล์เปล่า) แล้วใส่ข้อมูลโรงเรียน ปีการศึกษาใหม่ และระดับชั้นใหม่ตามช่องสีเทาด้านล่าง</t>
        </is>
      </c>
    </row>
    <row r="5">
      <c r="B5" s="189" t="inlineStr">
        <is>
          <t>2) ในไฟล์นี้ เลือกช่วง “ชุดที่ 1” (สีฟ้า) แล้วกด Ctrl + C  →  ไปที่ไฟล์ใหม่ หน้า “ข้อมูลนักเรียน” คลิกช่อง B9  →  วางเฉพาะค่า (คลิกขวา &gt; วางแบบพิเศษ &gt; ค่า  หรือ Ctrl + Shift + V)</t>
        </is>
      </c>
    </row>
    <row r="6">
      <c r="B6" s="189" t="inlineStr">
        <is>
          <t>3) ทำแบบเดียวกันกับ “ชุดที่ 2” (สีเขียว) วางที่ช่อง L9 ของหน้า “ข้อมูลนักเรียน”  (ข้ามคอลัมน์ K อายุ เพราะเป็นสูตร)</t>
        </is>
      </c>
    </row>
    <row r="7">
      <c r="B7" s="189" t="inlineStr">
        <is>
          <t>4) “ชุดที่ 3” (สีเหลือง) ยอดเงินออมคงเหลือ วางที่ไฟล์ใหม่ หน้า “ออมเงิน-ภ1” ช่อง C9 (ยอดยกมา)</t>
        </is>
      </c>
    </row>
    <row r="8">
      <c r="B8" s="189" t="inlineStr">
        <is>
          <t>หมายเหตุ: ต้องวางแบบ “เฉพาะค่า” เสมอ เพื่อไม่ให้ลิงก์ย้อนกลับมาที่ไฟล์เก่า  •  ถ้าเปลี่ยนลำดับเลขที่ ให้จัดในไฟล์ใหม่หลังวาง</t>
        </is>
      </c>
    </row>
    <row r="9"/>
    <row r="10">
      <c r="B10" s="1131" t="inlineStr">
        <is>
          <t>ปีการศึกษาใหม่</t>
        </is>
      </c>
      <c r="C10" s="1132">
        <f>'ข้อมูลโรงเรียน'!$C$12+1</f>
        <v/>
      </c>
      <c r="E10" s="1131" t="inlineStr">
        <is>
          <t>ระดับชั้นใหม่</t>
        </is>
      </c>
      <c r="F10" s="1132">
        <f>IFERROR(CHOOSE(MATCH('ข้อมูลโรงเรียน'!$C$7,{"เตรียมอนุบาล","อนุบาล 1","อนุบาล 2","อนุบาล 3"},0),"อนุบาล 1","อนุบาล 2","อนุบาล 3","(จบชั้นอนุบาล → ประถมศึกษาปีที่ 1)"),'ข้อมูลโรงเรียน'!$C$7)</f>
        <v/>
      </c>
      <c r="L10" s="1131" t="inlineStr">
        <is>
          <t>นักเรียนที่ยกไป</t>
        </is>
      </c>
      <c r="N10" s="1132">
        <f>COUNTIF('ข้อมูลนักเรียน'!$E$9:$E$13,"?*")&amp;" คน"</f>
        <v/>
      </c>
    </row>
    <row r="11"/>
    <row r="12">
      <c r="B12" s="1133" t="inlineStr">
        <is>
          <t>ชุดที่ 1  →  วางที่ “ข้อมูลนักเรียน” ช่อง B9</t>
        </is>
      </c>
      <c r="L12" s="1134" t="inlineStr">
        <is>
          <t>ชุดที่ 2  →  วางที่ “ข้อมูลนักเรียน” ช่อง L9</t>
        </is>
      </c>
      <c r="T12" s="1135" t="inlineStr">
        <is>
          <t>ชุดที่ 3  →  “ออมเงิน-ภ1” C9</t>
        </is>
      </c>
      <c r="U12" s="818" t="n"/>
    </row>
    <row r="13">
      <c r="A13" s="1136" t="inlineStr">
        <is>
          <t>เลขที่</t>
        </is>
      </c>
      <c r="B13" s="1137" t="inlineStr">
        <is>
          <t>เลขประจำตัว</t>
        </is>
      </c>
      <c r="C13" s="1137" t="inlineStr">
        <is>
          <t>เลขบัตรประชาชน</t>
        </is>
      </c>
      <c r="D13" s="1137" t="inlineStr">
        <is>
          <t>คำนำหน้า</t>
        </is>
      </c>
      <c r="E13" s="1137" t="inlineStr">
        <is>
          <t>ชื่อ</t>
        </is>
      </c>
      <c r="F13" s="1137" t="inlineStr">
        <is>
          <t>นามสกุล</t>
        </is>
      </c>
      <c r="G13" s="1137" t="inlineStr">
        <is>
          <t>ชื่อเล่น</t>
        </is>
      </c>
      <c r="H13" s="1137" t="inlineStr">
        <is>
          <t>วันเกิด</t>
        </is>
      </c>
      <c r="I13" s="1137" t="inlineStr">
        <is>
          <t>เดือนเกิด</t>
        </is>
      </c>
      <c r="J13" s="1137" t="inlineStr">
        <is>
          <t>ปีเกิด</t>
        </is>
      </c>
      <c r="L13" s="1138" t="inlineStr">
        <is>
          <t>กรุ๊ปเลือด</t>
        </is>
      </c>
      <c r="M13" s="1138" t="inlineStr">
        <is>
          <t>โรค/แพ้</t>
        </is>
      </c>
      <c r="N13" s="1138" t="inlineStr">
        <is>
          <t>ผู้ปกครอง</t>
        </is>
      </c>
      <c r="O13" s="1138" t="inlineStr">
        <is>
          <t>เกี่ยวข้อง</t>
        </is>
      </c>
      <c r="P13" s="1138" t="inlineStr">
        <is>
          <t>โทรศัพท์</t>
        </is>
      </c>
      <c r="Q13" s="1138" t="inlineStr">
        <is>
          <t>ที่อยู่</t>
        </is>
      </c>
      <c r="R13" s="1138" t="inlineStr">
        <is>
          <t>หมายเหตุ</t>
        </is>
      </c>
      <c r="T13" s="1139" t="inlineStr">
        <is>
          <t>ยอดเงินออมคงเหลือ (บาท)</t>
        </is>
      </c>
    </row>
    <row r="14">
      <c r="A14" s="1140" t="n">
        <v>1</v>
      </c>
      <c r="B14" s="1141">
        <f>IF('ข้อมูลนักเรียน'!$E9="","",'ข้อมูลนักเรียน'!B9&amp;"")</f>
        <v/>
      </c>
      <c r="C14" s="1141">
        <f>IF('ข้อมูลนักเรียน'!$E9="","",'ข้อมูลนักเรียน'!C9&amp;"")</f>
        <v/>
      </c>
      <c r="D14" s="1142">
        <f>IF('ข้อมูลนักเรียน'!$E9="","",'ข้อมูลนักเรียน'!D9&amp;"")</f>
        <v/>
      </c>
      <c r="E14" s="1143">
        <f>IF('ข้อมูลนักเรียน'!$E9="","",'ข้อมูลนักเรียน'!E9&amp;"")</f>
        <v/>
      </c>
      <c r="F14" s="1143">
        <f>IF('ข้อมูลนักเรียน'!$E9="","",'ข้อมูลนักเรียน'!F9&amp;"")</f>
        <v/>
      </c>
      <c r="G14" s="1142">
        <f>IF('ข้อมูลนักเรียน'!$E9="","",'ข้อมูลนักเรียน'!G9&amp;"")</f>
        <v/>
      </c>
      <c r="H14" s="1142">
        <f>IF('ข้อมูลนักเรียน'!$E9="","",IF('ข้อมูลนักเรียน'!H9="","",'ข้อมูลนักเรียน'!H9))</f>
        <v/>
      </c>
      <c r="I14" s="1142">
        <f>IF('ข้อมูลนักเรียน'!$E9="","",'ข้อมูลนักเรียน'!I9&amp;"")</f>
        <v/>
      </c>
      <c r="J14" s="1142">
        <f>IF('ข้อมูลนักเรียน'!$E9="","",IF('ข้อมูลนักเรียน'!J9="","",'ข้อมูลนักเรียน'!J9))</f>
        <v/>
      </c>
      <c r="L14" s="1144">
        <f>IF('ข้อมูลนักเรียน'!$E9="","",'ข้อมูลนักเรียน'!L9&amp;"")</f>
        <v/>
      </c>
      <c r="M14" s="1145">
        <f>IF('ข้อมูลนักเรียน'!$E9="","",'ข้อมูลนักเรียน'!M9&amp;"")</f>
        <v/>
      </c>
      <c r="N14" s="1145">
        <f>IF('ข้อมูลนักเรียน'!$E9="","",'ข้อมูลนักเรียน'!N9&amp;"")</f>
        <v/>
      </c>
      <c r="O14" s="1144">
        <f>IF('ข้อมูลนักเรียน'!$E9="","",'ข้อมูลนักเรียน'!O9&amp;"")</f>
        <v/>
      </c>
      <c r="P14" s="1146">
        <f>IF('ข้อมูลนักเรียน'!$E9="","",'ข้อมูลนักเรียน'!P9&amp;"")</f>
        <v/>
      </c>
      <c r="Q14" s="1145">
        <f>IF('ข้อมูลนักเรียน'!$E9="","",'ข้อมูลนักเรียน'!Q9&amp;"")</f>
        <v/>
      </c>
      <c r="R14" s="1145">
        <f>IF('ข้อมูลนักเรียน'!$E9="","",'ข้อมูลนักเรียน'!R9&amp;"")</f>
        <v/>
      </c>
      <c r="T14" s="1147">
        <f>IF('ข้อมูลนักเรียน'!$E9="","",N('สรุปออมเงิน'!Q9))</f>
        <v/>
      </c>
    </row>
    <row r="15">
      <c r="A15" s="1140" t="n">
        <v>2</v>
      </c>
      <c r="B15" s="1141">
        <f>IF('ข้อมูลนักเรียน'!$E10="","",'ข้อมูลนักเรียน'!B10&amp;"")</f>
        <v/>
      </c>
      <c r="C15" s="1141">
        <f>IF('ข้อมูลนักเรียน'!$E10="","",'ข้อมูลนักเรียน'!C10&amp;"")</f>
        <v/>
      </c>
      <c r="D15" s="1142">
        <f>IF('ข้อมูลนักเรียน'!$E10="","",'ข้อมูลนักเรียน'!D10&amp;"")</f>
        <v/>
      </c>
      <c r="E15" s="1143">
        <f>IF('ข้อมูลนักเรียน'!$E10="","",'ข้อมูลนักเรียน'!E10&amp;"")</f>
        <v/>
      </c>
      <c r="F15" s="1143">
        <f>IF('ข้อมูลนักเรียน'!$E10="","",'ข้อมูลนักเรียน'!F10&amp;"")</f>
        <v/>
      </c>
      <c r="G15" s="1142">
        <f>IF('ข้อมูลนักเรียน'!$E10="","",'ข้อมูลนักเรียน'!G10&amp;"")</f>
        <v/>
      </c>
      <c r="H15" s="1142">
        <f>IF('ข้อมูลนักเรียน'!$E10="","",IF('ข้อมูลนักเรียน'!H10="","",'ข้อมูลนักเรียน'!H10))</f>
        <v/>
      </c>
      <c r="I15" s="1142">
        <f>IF('ข้อมูลนักเรียน'!$E10="","",'ข้อมูลนักเรียน'!I10&amp;"")</f>
        <v/>
      </c>
      <c r="J15" s="1142">
        <f>IF('ข้อมูลนักเรียน'!$E10="","",IF('ข้อมูลนักเรียน'!J10="","",'ข้อมูลนักเรียน'!J10))</f>
        <v/>
      </c>
      <c r="L15" s="1144">
        <f>IF('ข้อมูลนักเรียน'!$E10="","",'ข้อมูลนักเรียน'!L10&amp;"")</f>
        <v/>
      </c>
      <c r="M15" s="1145">
        <f>IF('ข้อมูลนักเรียน'!$E10="","",'ข้อมูลนักเรียน'!M10&amp;"")</f>
        <v/>
      </c>
      <c r="N15" s="1145">
        <f>IF('ข้อมูลนักเรียน'!$E10="","",'ข้อมูลนักเรียน'!N10&amp;"")</f>
        <v/>
      </c>
      <c r="O15" s="1144">
        <f>IF('ข้อมูลนักเรียน'!$E10="","",'ข้อมูลนักเรียน'!O10&amp;"")</f>
        <v/>
      </c>
      <c r="P15" s="1146">
        <f>IF('ข้อมูลนักเรียน'!$E10="","",'ข้อมูลนักเรียน'!P10&amp;"")</f>
        <v/>
      </c>
      <c r="Q15" s="1145">
        <f>IF('ข้อมูลนักเรียน'!$E10="","",'ข้อมูลนักเรียน'!Q10&amp;"")</f>
        <v/>
      </c>
      <c r="R15" s="1145">
        <f>IF('ข้อมูลนักเรียน'!$E10="","",'ข้อมูลนักเรียน'!R10&amp;"")</f>
        <v/>
      </c>
      <c r="T15" s="1147">
        <f>IF('ข้อมูลนักเรียน'!$E10="","",N('สรุปออมเงิน'!Q10))</f>
        <v/>
      </c>
    </row>
    <row r="16">
      <c r="A16" s="1140" t="n">
        <v>3</v>
      </c>
      <c r="B16" s="1141">
        <f>IF('ข้อมูลนักเรียน'!$E11="","",'ข้อมูลนักเรียน'!B11&amp;"")</f>
        <v/>
      </c>
      <c r="C16" s="1141">
        <f>IF('ข้อมูลนักเรียน'!$E11="","",'ข้อมูลนักเรียน'!C11&amp;"")</f>
        <v/>
      </c>
      <c r="D16" s="1142">
        <f>IF('ข้อมูลนักเรียน'!$E11="","",'ข้อมูลนักเรียน'!D11&amp;"")</f>
        <v/>
      </c>
      <c r="E16" s="1143">
        <f>IF('ข้อมูลนักเรียน'!$E11="","",'ข้อมูลนักเรียน'!E11&amp;"")</f>
        <v/>
      </c>
      <c r="F16" s="1143">
        <f>IF('ข้อมูลนักเรียน'!$E11="","",'ข้อมูลนักเรียน'!F11&amp;"")</f>
        <v/>
      </c>
      <c r="G16" s="1142">
        <f>IF('ข้อมูลนักเรียน'!$E11="","",'ข้อมูลนักเรียน'!G11&amp;"")</f>
        <v/>
      </c>
      <c r="H16" s="1142">
        <f>IF('ข้อมูลนักเรียน'!$E11="","",IF('ข้อมูลนักเรียน'!H11="","",'ข้อมูลนักเรียน'!H11))</f>
        <v/>
      </c>
      <c r="I16" s="1142">
        <f>IF('ข้อมูลนักเรียน'!$E11="","",'ข้อมูลนักเรียน'!I11&amp;"")</f>
        <v/>
      </c>
      <c r="J16" s="1142">
        <f>IF('ข้อมูลนักเรียน'!$E11="","",IF('ข้อมูลนักเรียน'!J11="","",'ข้อมูลนักเรียน'!J11))</f>
        <v/>
      </c>
      <c r="L16" s="1144">
        <f>IF('ข้อมูลนักเรียน'!$E11="","",'ข้อมูลนักเรียน'!L11&amp;"")</f>
        <v/>
      </c>
      <c r="M16" s="1145">
        <f>IF('ข้อมูลนักเรียน'!$E11="","",'ข้อมูลนักเรียน'!M11&amp;"")</f>
        <v/>
      </c>
      <c r="N16" s="1145">
        <f>IF('ข้อมูลนักเรียน'!$E11="","",'ข้อมูลนักเรียน'!N11&amp;"")</f>
        <v/>
      </c>
      <c r="O16" s="1144">
        <f>IF('ข้อมูลนักเรียน'!$E11="","",'ข้อมูลนักเรียน'!O11&amp;"")</f>
        <v/>
      </c>
      <c r="P16" s="1146">
        <f>IF('ข้อมูลนักเรียน'!$E11="","",'ข้อมูลนักเรียน'!P11&amp;"")</f>
        <v/>
      </c>
      <c r="Q16" s="1145">
        <f>IF('ข้อมูลนักเรียน'!$E11="","",'ข้อมูลนักเรียน'!Q11&amp;"")</f>
        <v/>
      </c>
      <c r="R16" s="1145">
        <f>IF('ข้อมูลนักเรียน'!$E11="","",'ข้อมูลนักเรียน'!R11&amp;"")</f>
        <v/>
      </c>
      <c r="T16" s="1147">
        <f>IF('ข้อมูลนักเรียน'!$E11="","",N('สรุปออมเงิน'!Q11))</f>
        <v/>
      </c>
    </row>
    <row r="17">
      <c r="A17" s="1140" t="n">
        <v>4</v>
      </c>
      <c r="B17" s="1141">
        <f>IF('ข้อมูลนักเรียน'!$E12="","",'ข้อมูลนักเรียน'!B12&amp;"")</f>
        <v/>
      </c>
      <c r="C17" s="1141">
        <f>IF('ข้อมูลนักเรียน'!$E12="","",'ข้อมูลนักเรียน'!C12&amp;"")</f>
        <v/>
      </c>
      <c r="D17" s="1142">
        <f>IF('ข้อมูลนักเรียน'!$E12="","",'ข้อมูลนักเรียน'!D12&amp;"")</f>
        <v/>
      </c>
      <c r="E17" s="1143">
        <f>IF('ข้อมูลนักเรียน'!$E12="","",'ข้อมูลนักเรียน'!E12&amp;"")</f>
        <v/>
      </c>
      <c r="F17" s="1143">
        <f>IF('ข้อมูลนักเรียน'!$E12="","",'ข้อมูลนักเรียน'!F12&amp;"")</f>
        <v/>
      </c>
      <c r="G17" s="1142">
        <f>IF('ข้อมูลนักเรียน'!$E12="","",'ข้อมูลนักเรียน'!G12&amp;"")</f>
        <v/>
      </c>
      <c r="H17" s="1142">
        <f>IF('ข้อมูลนักเรียน'!$E12="","",IF('ข้อมูลนักเรียน'!H12="","",'ข้อมูลนักเรียน'!H12))</f>
        <v/>
      </c>
      <c r="I17" s="1142">
        <f>IF('ข้อมูลนักเรียน'!$E12="","",'ข้อมูลนักเรียน'!I12&amp;"")</f>
        <v/>
      </c>
      <c r="J17" s="1142">
        <f>IF('ข้อมูลนักเรียน'!$E12="","",IF('ข้อมูลนักเรียน'!J12="","",'ข้อมูลนักเรียน'!J12))</f>
        <v/>
      </c>
      <c r="L17" s="1144">
        <f>IF('ข้อมูลนักเรียน'!$E12="","",'ข้อมูลนักเรียน'!L12&amp;"")</f>
        <v/>
      </c>
      <c r="M17" s="1145">
        <f>IF('ข้อมูลนักเรียน'!$E12="","",'ข้อมูลนักเรียน'!M12&amp;"")</f>
        <v/>
      </c>
      <c r="N17" s="1145">
        <f>IF('ข้อมูลนักเรียน'!$E12="","",'ข้อมูลนักเรียน'!N12&amp;"")</f>
        <v/>
      </c>
      <c r="O17" s="1144">
        <f>IF('ข้อมูลนักเรียน'!$E12="","",'ข้อมูลนักเรียน'!O12&amp;"")</f>
        <v/>
      </c>
      <c r="P17" s="1146">
        <f>IF('ข้อมูลนักเรียน'!$E12="","",'ข้อมูลนักเรียน'!P12&amp;"")</f>
        <v/>
      </c>
      <c r="Q17" s="1145">
        <f>IF('ข้อมูลนักเรียน'!$E12="","",'ข้อมูลนักเรียน'!Q12&amp;"")</f>
        <v/>
      </c>
      <c r="R17" s="1145">
        <f>IF('ข้อมูลนักเรียน'!$E12="","",'ข้อมูลนักเรียน'!R12&amp;"")</f>
        <v/>
      </c>
      <c r="T17" s="1147">
        <f>IF('ข้อมูลนักเรียน'!$E12="","",N('สรุปออมเงิน'!Q12))</f>
        <v/>
      </c>
    </row>
    <row r="18">
      <c r="A18" s="1140" t="n">
        <v>5</v>
      </c>
      <c r="B18" s="1141">
        <f>IF('ข้อมูลนักเรียน'!$E13="","",'ข้อมูลนักเรียน'!B13&amp;"")</f>
        <v/>
      </c>
      <c r="C18" s="1141">
        <f>IF('ข้อมูลนักเรียน'!$E13="","",'ข้อมูลนักเรียน'!C13&amp;"")</f>
        <v/>
      </c>
      <c r="D18" s="1142">
        <f>IF('ข้อมูลนักเรียน'!$E13="","",'ข้อมูลนักเรียน'!D13&amp;"")</f>
        <v/>
      </c>
      <c r="E18" s="1143">
        <f>IF('ข้อมูลนักเรียน'!$E13="","",'ข้อมูลนักเรียน'!E13&amp;"")</f>
        <v/>
      </c>
      <c r="F18" s="1143">
        <f>IF('ข้อมูลนักเรียน'!$E13="","",'ข้อมูลนักเรียน'!F13&amp;"")</f>
        <v/>
      </c>
      <c r="G18" s="1142">
        <f>IF('ข้อมูลนักเรียน'!$E13="","",'ข้อมูลนักเรียน'!G13&amp;"")</f>
        <v/>
      </c>
      <c r="H18" s="1142">
        <f>IF('ข้อมูลนักเรียน'!$E13="","",IF('ข้อมูลนักเรียน'!H13="","",'ข้อมูลนักเรียน'!H13))</f>
        <v/>
      </c>
      <c r="I18" s="1142">
        <f>IF('ข้อมูลนักเรียน'!$E13="","",'ข้อมูลนักเรียน'!I13&amp;"")</f>
        <v/>
      </c>
      <c r="J18" s="1142">
        <f>IF('ข้อมูลนักเรียน'!$E13="","",IF('ข้อมูลนักเรียน'!J13="","",'ข้อมูลนักเรียน'!J13))</f>
        <v/>
      </c>
      <c r="L18" s="1144">
        <f>IF('ข้อมูลนักเรียน'!$E13="","",'ข้อมูลนักเรียน'!L13&amp;"")</f>
        <v/>
      </c>
      <c r="M18" s="1145">
        <f>IF('ข้อมูลนักเรียน'!$E13="","",'ข้อมูลนักเรียน'!M13&amp;"")</f>
        <v/>
      </c>
      <c r="N18" s="1145">
        <f>IF('ข้อมูลนักเรียน'!$E13="","",'ข้อมูลนักเรียน'!N13&amp;"")</f>
        <v/>
      </c>
      <c r="O18" s="1144">
        <f>IF('ข้อมูลนักเรียน'!$E13="","",'ข้อมูลนักเรียน'!O13&amp;"")</f>
        <v/>
      </c>
      <c r="P18" s="1146">
        <f>IF('ข้อมูลนักเรียน'!$E13="","",'ข้อมูลนักเรียน'!P13&amp;"")</f>
        <v/>
      </c>
      <c r="Q18" s="1145">
        <f>IF('ข้อมูลนักเรียน'!$E13="","",'ข้อมูลนักเรียน'!Q13&amp;"")</f>
        <v/>
      </c>
      <c r="R18" s="1145">
        <f>IF('ข้อมูลนักเรียน'!$E13="","",'ข้อมูลนักเรียน'!R13&amp;"")</f>
        <v/>
      </c>
      <c r="T18" s="1147">
        <f>IF('ข้อมูลนักเรียน'!$E13="","",N('สรุปออมเงิน'!Q13))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mergeCells count="17">
    <mergeCell ref="T12:U12"/>
    <mergeCell ref="T16:U16"/>
    <mergeCell ref="B8:U8"/>
    <mergeCell ref="B4:U4"/>
    <mergeCell ref="T15:U15"/>
    <mergeCell ref="T13:U13"/>
    <mergeCell ref="L10:M10"/>
    <mergeCell ref="B7:U7"/>
    <mergeCell ref="F10:I10"/>
    <mergeCell ref="B6:U6"/>
    <mergeCell ref="L12:R12"/>
    <mergeCell ref="T14:U14"/>
    <mergeCell ref="T18:U18"/>
    <mergeCell ref="B12:J12"/>
    <mergeCell ref="T17:U17"/>
    <mergeCell ref="B3:U3"/>
    <mergeCell ref="B5:U5"/>
  </mergeCells>
  <hyperlinks>
    <hyperlink ref="A1" location="'หน้าหลัก'!A1" display="🏠"/>
    <hyperlink ref="A2" location="'หน้าหลัก'!A1" display="หน้าหลัก"/>
  </hyperlinks>
  <pageMargins left="0.35" right="0.35" top="0.45" bottom="0.45" header="0.5" footer="0.5"/>
  <pageSetup orientation="landscape" paperSize="9" fitToHeight="1" fitToWidth="1"/>
  <drawing xmlns:r="http://schemas.openxmlformats.org/officeDocument/2006/relationships" r:id="rId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GY7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ภ1 วันที่</t>
        </is>
      </c>
      <c r="D1" s="1148">
        <f>IF(1&gt;DAY(EOMONTH(DATE('ข้อมูลโรงเรียน'!$C$12-543,5,1),0)),"",DATE('ข้อมูลโรงเรียน'!$C$12-543,5,1))</f>
        <v/>
      </c>
      <c r="E1" s="1148">
        <f>IF(2&gt;DAY(EOMONTH(DATE('ข้อมูลโรงเรียน'!$C$12-543,5,1),0)),"",DATE('ข้อมูลโรงเรียน'!$C$12-543,5,2))</f>
        <v/>
      </c>
      <c r="F1" s="1148">
        <f>IF(3&gt;DAY(EOMONTH(DATE('ข้อมูลโรงเรียน'!$C$12-543,5,1),0)),"",DATE('ข้อมูลโรงเรียน'!$C$12-543,5,3))</f>
        <v/>
      </c>
      <c r="G1" s="1148">
        <f>IF(4&gt;DAY(EOMONTH(DATE('ข้อมูลโรงเรียน'!$C$12-543,5,1),0)),"",DATE('ข้อมูลโรงเรียน'!$C$12-543,5,4))</f>
        <v/>
      </c>
      <c r="H1" s="1148">
        <f>IF(5&gt;DAY(EOMONTH(DATE('ข้อมูลโรงเรียน'!$C$12-543,5,1),0)),"",DATE('ข้อมูลโรงเรียน'!$C$12-543,5,5))</f>
        <v/>
      </c>
      <c r="I1" s="1148">
        <f>IF(6&gt;DAY(EOMONTH(DATE('ข้อมูลโรงเรียน'!$C$12-543,5,1),0)),"",DATE('ข้อมูลโรงเรียน'!$C$12-543,5,6))</f>
        <v/>
      </c>
      <c r="J1" s="1148">
        <f>IF(7&gt;DAY(EOMONTH(DATE('ข้อมูลโรงเรียน'!$C$12-543,5,1),0)),"",DATE('ข้อมูลโรงเรียน'!$C$12-543,5,7))</f>
        <v/>
      </c>
      <c r="K1" s="1148">
        <f>IF(8&gt;DAY(EOMONTH(DATE('ข้อมูลโรงเรียน'!$C$12-543,5,1),0)),"",DATE('ข้อมูลโรงเรียน'!$C$12-543,5,8))</f>
        <v/>
      </c>
      <c r="L1" s="1148">
        <f>IF(9&gt;DAY(EOMONTH(DATE('ข้อมูลโรงเรียน'!$C$12-543,5,1),0)),"",DATE('ข้อมูลโรงเรียน'!$C$12-543,5,9))</f>
        <v/>
      </c>
      <c r="M1" s="1148">
        <f>IF(10&gt;DAY(EOMONTH(DATE('ข้อมูลโรงเรียน'!$C$12-543,5,1),0)),"",DATE('ข้อมูลโรงเรียน'!$C$12-543,5,10))</f>
        <v/>
      </c>
      <c r="N1" s="1148">
        <f>IF(11&gt;DAY(EOMONTH(DATE('ข้อมูลโรงเรียน'!$C$12-543,5,1),0)),"",DATE('ข้อมูลโรงเรียน'!$C$12-543,5,11))</f>
        <v/>
      </c>
      <c r="O1" s="1148">
        <f>IF(12&gt;DAY(EOMONTH(DATE('ข้อมูลโรงเรียน'!$C$12-543,5,1),0)),"",DATE('ข้อมูลโรงเรียน'!$C$12-543,5,12))</f>
        <v/>
      </c>
      <c r="P1" s="1148">
        <f>IF(13&gt;DAY(EOMONTH(DATE('ข้อมูลโรงเรียน'!$C$12-543,5,1),0)),"",DATE('ข้อมูลโรงเรียน'!$C$12-543,5,13))</f>
        <v/>
      </c>
      <c r="Q1" s="1148">
        <f>IF(14&gt;DAY(EOMONTH(DATE('ข้อมูลโรงเรียน'!$C$12-543,5,1),0)),"",DATE('ข้อมูลโรงเรียน'!$C$12-543,5,14))</f>
        <v/>
      </c>
      <c r="R1" s="1148">
        <f>IF(15&gt;DAY(EOMONTH(DATE('ข้อมูลโรงเรียน'!$C$12-543,5,1),0)),"",DATE('ข้อมูลโรงเรียน'!$C$12-543,5,15))</f>
        <v/>
      </c>
      <c r="S1" s="1148">
        <f>IF(16&gt;DAY(EOMONTH(DATE('ข้อมูลโรงเรียน'!$C$12-543,5,1),0)),"",DATE('ข้อมูลโรงเรียน'!$C$12-543,5,16))</f>
        <v/>
      </c>
      <c r="T1" s="1148">
        <f>IF(17&gt;DAY(EOMONTH(DATE('ข้อมูลโรงเรียน'!$C$12-543,5,1),0)),"",DATE('ข้อมูลโรงเรียน'!$C$12-543,5,17))</f>
        <v/>
      </c>
      <c r="U1" s="1148">
        <f>IF(18&gt;DAY(EOMONTH(DATE('ข้อมูลโรงเรียน'!$C$12-543,5,1),0)),"",DATE('ข้อมูลโรงเรียน'!$C$12-543,5,18))</f>
        <v/>
      </c>
      <c r="V1" s="1148">
        <f>IF(19&gt;DAY(EOMONTH(DATE('ข้อมูลโรงเรียน'!$C$12-543,5,1),0)),"",DATE('ข้อมูลโรงเรียน'!$C$12-543,5,19))</f>
        <v/>
      </c>
      <c r="W1" s="1148">
        <f>IF(20&gt;DAY(EOMONTH(DATE('ข้อมูลโรงเรียน'!$C$12-543,5,1),0)),"",DATE('ข้อมูลโรงเรียน'!$C$12-543,5,20))</f>
        <v/>
      </c>
      <c r="X1" s="1148">
        <f>IF(21&gt;DAY(EOMONTH(DATE('ข้อมูลโรงเรียน'!$C$12-543,5,1),0)),"",DATE('ข้อมูลโรงเรียน'!$C$12-543,5,21))</f>
        <v/>
      </c>
      <c r="Y1" s="1148">
        <f>IF(22&gt;DAY(EOMONTH(DATE('ข้อมูลโรงเรียน'!$C$12-543,5,1),0)),"",DATE('ข้อมูลโรงเรียน'!$C$12-543,5,22))</f>
        <v/>
      </c>
      <c r="Z1" s="1148">
        <f>IF(23&gt;DAY(EOMONTH(DATE('ข้อมูลโรงเรียน'!$C$12-543,5,1),0)),"",DATE('ข้อมูลโรงเรียน'!$C$12-543,5,23))</f>
        <v/>
      </c>
      <c r="AA1" s="1148">
        <f>IF(24&gt;DAY(EOMONTH(DATE('ข้อมูลโรงเรียน'!$C$12-543,5,1),0)),"",DATE('ข้อมูลโรงเรียน'!$C$12-543,5,24))</f>
        <v/>
      </c>
      <c r="AB1" s="1148">
        <f>IF(25&gt;DAY(EOMONTH(DATE('ข้อมูลโรงเรียน'!$C$12-543,5,1),0)),"",DATE('ข้อมูลโรงเรียน'!$C$12-543,5,25))</f>
        <v/>
      </c>
      <c r="AC1" s="1148">
        <f>IF(26&gt;DAY(EOMONTH(DATE('ข้อมูลโรงเรียน'!$C$12-543,5,1),0)),"",DATE('ข้อมูลโรงเรียน'!$C$12-543,5,26))</f>
        <v/>
      </c>
      <c r="AD1" s="1148">
        <f>IF(27&gt;DAY(EOMONTH(DATE('ข้อมูลโรงเรียน'!$C$12-543,5,1),0)),"",DATE('ข้อมูลโรงเรียน'!$C$12-543,5,27))</f>
        <v/>
      </c>
      <c r="AE1" s="1148">
        <f>IF(28&gt;DAY(EOMONTH(DATE('ข้อมูลโรงเรียน'!$C$12-543,5,1),0)),"",DATE('ข้อมูลโรงเรียน'!$C$12-543,5,28))</f>
        <v/>
      </c>
      <c r="AF1" s="1148">
        <f>IF(29&gt;DAY(EOMONTH(DATE('ข้อมูลโรงเรียน'!$C$12-543,5,1),0)),"",DATE('ข้อมูลโรงเรียน'!$C$12-543,5,29))</f>
        <v/>
      </c>
      <c r="AG1" s="1148">
        <f>IF(30&gt;DAY(EOMONTH(DATE('ข้อมูลโรงเรียน'!$C$12-543,5,1),0)),"",DATE('ข้อมูลโรงเรียน'!$C$12-543,5,30))</f>
        <v/>
      </c>
      <c r="AH1" s="1148">
        <f>IF(31&gt;DAY(EOMONTH(DATE('ข้อมูลโรงเรียน'!$C$12-543,5,1),0)),"",DATE('ข้อมูลโรงเรียน'!$C$12-543,5,31))</f>
        <v/>
      </c>
      <c r="AL1" s="1148">
        <f>IF(1&gt;DAY(EOMONTH(DATE('ข้อมูลโรงเรียน'!$C$12-543,6,1),0)),"",DATE('ข้อมูลโรงเรียน'!$C$12-543,6,1))</f>
        <v/>
      </c>
      <c r="AM1" s="1148">
        <f>IF(2&gt;DAY(EOMONTH(DATE('ข้อมูลโรงเรียน'!$C$12-543,6,1),0)),"",DATE('ข้อมูลโรงเรียน'!$C$12-543,6,2))</f>
        <v/>
      </c>
      <c r="AN1" s="1148">
        <f>IF(3&gt;DAY(EOMONTH(DATE('ข้อมูลโรงเรียน'!$C$12-543,6,1),0)),"",DATE('ข้อมูลโรงเรียน'!$C$12-543,6,3))</f>
        <v/>
      </c>
      <c r="AO1" s="1148">
        <f>IF(4&gt;DAY(EOMONTH(DATE('ข้อมูลโรงเรียน'!$C$12-543,6,1),0)),"",DATE('ข้อมูลโรงเรียน'!$C$12-543,6,4))</f>
        <v/>
      </c>
      <c r="AP1" s="1148">
        <f>IF(5&gt;DAY(EOMONTH(DATE('ข้อมูลโรงเรียน'!$C$12-543,6,1),0)),"",DATE('ข้อมูลโรงเรียน'!$C$12-543,6,5))</f>
        <v/>
      </c>
      <c r="AQ1" s="1148">
        <f>IF(6&gt;DAY(EOMONTH(DATE('ข้อมูลโรงเรียน'!$C$12-543,6,1),0)),"",DATE('ข้อมูลโรงเรียน'!$C$12-543,6,6))</f>
        <v/>
      </c>
      <c r="AR1" s="1148">
        <f>IF(7&gt;DAY(EOMONTH(DATE('ข้อมูลโรงเรียน'!$C$12-543,6,1),0)),"",DATE('ข้อมูลโรงเรียน'!$C$12-543,6,7))</f>
        <v/>
      </c>
      <c r="AS1" s="1148">
        <f>IF(8&gt;DAY(EOMONTH(DATE('ข้อมูลโรงเรียน'!$C$12-543,6,1),0)),"",DATE('ข้อมูลโรงเรียน'!$C$12-543,6,8))</f>
        <v/>
      </c>
      <c r="AT1" s="1148">
        <f>IF(9&gt;DAY(EOMONTH(DATE('ข้อมูลโรงเรียน'!$C$12-543,6,1),0)),"",DATE('ข้อมูลโรงเรียน'!$C$12-543,6,9))</f>
        <v/>
      </c>
      <c r="AU1" s="1148">
        <f>IF(10&gt;DAY(EOMONTH(DATE('ข้อมูลโรงเรียน'!$C$12-543,6,1),0)),"",DATE('ข้อมูลโรงเรียน'!$C$12-543,6,10))</f>
        <v/>
      </c>
      <c r="AV1" s="1148">
        <f>IF(11&gt;DAY(EOMONTH(DATE('ข้อมูลโรงเรียน'!$C$12-543,6,1),0)),"",DATE('ข้อมูลโรงเรียน'!$C$12-543,6,11))</f>
        <v/>
      </c>
      <c r="AW1" s="1148">
        <f>IF(12&gt;DAY(EOMONTH(DATE('ข้อมูลโรงเรียน'!$C$12-543,6,1),0)),"",DATE('ข้อมูลโรงเรียน'!$C$12-543,6,12))</f>
        <v/>
      </c>
      <c r="AX1" s="1148">
        <f>IF(13&gt;DAY(EOMONTH(DATE('ข้อมูลโรงเรียน'!$C$12-543,6,1),0)),"",DATE('ข้อมูลโรงเรียน'!$C$12-543,6,13))</f>
        <v/>
      </c>
      <c r="AY1" s="1148">
        <f>IF(14&gt;DAY(EOMONTH(DATE('ข้อมูลโรงเรียน'!$C$12-543,6,1),0)),"",DATE('ข้อมูลโรงเรียน'!$C$12-543,6,14))</f>
        <v/>
      </c>
      <c r="AZ1" s="1148">
        <f>IF(15&gt;DAY(EOMONTH(DATE('ข้อมูลโรงเรียน'!$C$12-543,6,1),0)),"",DATE('ข้อมูลโรงเรียน'!$C$12-543,6,15))</f>
        <v/>
      </c>
      <c r="BA1" s="1148">
        <f>IF(16&gt;DAY(EOMONTH(DATE('ข้อมูลโรงเรียน'!$C$12-543,6,1),0)),"",DATE('ข้อมูลโรงเรียน'!$C$12-543,6,16))</f>
        <v/>
      </c>
      <c r="BB1" s="1148">
        <f>IF(17&gt;DAY(EOMONTH(DATE('ข้อมูลโรงเรียน'!$C$12-543,6,1),0)),"",DATE('ข้อมูลโรงเรียน'!$C$12-543,6,17))</f>
        <v/>
      </c>
      <c r="BC1" s="1148">
        <f>IF(18&gt;DAY(EOMONTH(DATE('ข้อมูลโรงเรียน'!$C$12-543,6,1),0)),"",DATE('ข้อมูลโรงเรียน'!$C$12-543,6,18))</f>
        <v/>
      </c>
      <c r="BD1" s="1148">
        <f>IF(19&gt;DAY(EOMONTH(DATE('ข้อมูลโรงเรียน'!$C$12-543,6,1),0)),"",DATE('ข้อมูลโรงเรียน'!$C$12-543,6,19))</f>
        <v/>
      </c>
      <c r="BE1" s="1148">
        <f>IF(20&gt;DAY(EOMONTH(DATE('ข้อมูลโรงเรียน'!$C$12-543,6,1),0)),"",DATE('ข้อมูลโรงเรียน'!$C$12-543,6,20))</f>
        <v/>
      </c>
      <c r="BF1" s="1148">
        <f>IF(21&gt;DAY(EOMONTH(DATE('ข้อมูลโรงเรียน'!$C$12-543,6,1),0)),"",DATE('ข้อมูลโรงเรียน'!$C$12-543,6,21))</f>
        <v/>
      </c>
      <c r="BG1" s="1148">
        <f>IF(22&gt;DAY(EOMONTH(DATE('ข้อมูลโรงเรียน'!$C$12-543,6,1),0)),"",DATE('ข้อมูลโรงเรียน'!$C$12-543,6,22))</f>
        <v/>
      </c>
      <c r="BH1" s="1148">
        <f>IF(23&gt;DAY(EOMONTH(DATE('ข้อมูลโรงเรียน'!$C$12-543,6,1),0)),"",DATE('ข้อมูลโรงเรียน'!$C$12-543,6,23))</f>
        <v/>
      </c>
      <c r="BI1" s="1148">
        <f>IF(24&gt;DAY(EOMONTH(DATE('ข้อมูลโรงเรียน'!$C$12-543,6,1),0)),"",DATE('ข้อมูลโรงเรียน'!$C$12-543,6,24))</f>
        <v/>
      </c>
      <c r="BJ1" s="1148">
        <f>IF(25&gt;DAY(EOMONTH(DATE('ข้อมูลโรงเรียน'!$C$12-543,6,1),0)),"",DATE('ข้อมูลโรงเรียน'!$C$12-543,6,25))</f>
        <v/>
      </c>
      <c r="BK1" s="1148">
        <f>IF(26&gt;DAY(EOMONTH(DATE('ข้อมูลโรงเรียน'!$C$12-543,6,1),0)),"",DATE('ข้อมูลโรงเรียน'!$C$12-543,6,26))</f>
        <v/>
      </c>
      <c r="BL1" s="1148">
        <f>IF(27&gt;DAY(EOMONTH(DATE('ข้อมูลโรงเรียน'!$C$12-543,6,1),0)),"",DATE('ข้อมูลโรงเรียน'!$C$12-543,6,27))</f>
        <v/>
      </c>
      <c r="BM1" s="1148">
        <f>IF(28&gt;DAY(EOMONTH(DATE('ข้อมูลโรงเรียน'!$C$12-543,6,1),0)),"",DATE('ข้อมูลโรงเรียน'!$C$12-543,6,28))</f>
        <v/>
      </c>
      <c r="BN1" s="1148">
        <f>IF(29&gt;DAY(EOMONTH(DATE('ข้อมูลโรงเรียน'!$C$12-543,6,1),0)),"",DATE('ข้อมูลโรงเรียน'!$C$12-543,6,29))</f>
        <v/>
      </c>
      <c r="BO1" s="1148">
        <f>IF(30&gt;DAY(EOMONTH(DATE('ข้อมูลโรงเรียน'!$C$12-543,6,1),0)),"",DATE('ข้อมูลโรงเรียน'!$C$12-543,6,30))</f>
        <v/>
      </c>
      <c r="BP1" s="1148">
        <f>IF(31&gt;DAY(EOMONTH(DATE('ข้อมูลโรงเรียน'!$C$12-543,6,1),0)),"",DATE('ข้อมูลโรงเรียน'!$C$12-543,6,31))</f>
        <v/>
      </c>
      <c r="BT1" s="1148">
        <f>IF(1&gt;DAY(EOMONTH(DATE('ข้อมูลโรงเรียน'!$C$12-543,7,1),0)),"",DATE('ข้อมูลโรงเรียน'!$C$12-543,7,1))</f>
        <v/>
      </c>
      <c r="BU1" s="1148">
        <f>IF(2&gt;DAY(EOMONTH(DATE('ข้อมูลโรงเรียน'!$C$12-543,7,1),0)),"",DATE('ข้อมูลโรงเรียน'!$C$12-543,7,2))</f>
        <v/>
      </c>
      <c r="BV1" s="1148">
        <f>IF(3&gt;DAY(EOMONTH(DATE('ข้อมูลโรงเรียน'!$C$12-543,7,1),0)),"",DATE('ข้อมูลโรงเรียน'!$C$12-543,7,3))</f>
        <v/>
      </c>
      <c r="BW1" s="1148">
        <f>IF(4&gt;DAY(EOMONTH(DATE('ข้อมูลโรงเรียน'!$C$12-543,7,1),0)),"",DATE('ข้อมูลโรงเรียน'!$C$12-543,7,4))</f>
        <v/>
      </c>
      <c r="BX1" s="1148">
        <f>IF(5&gt;DAY(EOMONTH(DATE('ข้อมูลโรงเรียน'!$C$12-543,7,1),0)),"",DATE('ข้อมูลโรงเรียน'!$C$12-543,7,5))</f>
        <v/>
      </c>
      <c r="BY1" s="1148">
        <f>IF(6&gt;DAY(EOMONTH(DATE('ข้อมูลโรงเรียน'!$C$12-543,7,1),0)),"",DATE('ข้อมูลโรงเรียน'!$C$12-543,7,6))</f>
        <v/>
      </c>
      <c r="BZ1" s="1148">
        <f>IF(7&gt;DAY(EOMONTH(DATE('ข้อมูลโรงเรียน'!$C$12-543,7,1),0)),"",DATE('ข้อมูลโรงเรียน'!$C$12-543,7,7))</f>
        <v/>
      </c>
      <c r="CA1" s="1148">
        <f>IF(8&gt;DAY(EOMONTH(DATE('ข้อมูลโรงเรียน'!$C$12-543,7,1),0)),"",DATE('ข้อมูลโรงเรียน'!$C$12-543,7,8))</f>
        <v/>
      </c>
      <c r="CB1" s="1148">
        <f>IF(9&gt;DAY(EOMONTH(DATE('ข้อมูลโรงเรียน'!$C$12-543,7,1),0)),"",DATE('ข้อมูลโรงเรียน'!$C$12-543,7,9))</f>
        <v/>
      </c>
      <c r="CC1" s="1148">
        <f>IF(10&gt;DAY(EOMONTH(DATE('ข้อมูลโรงเรียน'!$C$12-543,7,1),0)),"",DATE('ข้อมูลโรงเรียน'!$C$12-543,7,10))</f>
        <v/>
      </c>
      <c r="CD1" s="1148">
        <f>IF(11&gt;DAY(EOMONTH(DATE('ข้อมูลโรงเรียน'!$C$12-543,7,1),0)),"",DATE('ข้อมูลโรงเรียน'!$C$12-543,7,11))</f>
        <v/>
      </c>
      <c r="CE1" s="1148">
        <f>IF(12&gt;DAY(EOMONTH(DATE('ข้อมูลโรงเรียน'!$C$12-543,7,1),0)),"",DATE('ข้อมูลโรงเรียน'!$C$12-543,7,12))</f>
        <v/>
      </c>
      <c r="CF1" s="1148">
        <f>IF(13&gt;DAY(EOMONTH(DATE('ข้อมูลโรงเรียน'!$C$12-543,7,1),0)),"",DATE('ข้อมูลโรงเรียน'!$C$12-543,7,13))</f>
        <v/>
      </c>
      <c r="CG1" s="1148">
        <f>IF(14&gt;DAY(EOMONTH(DATE('ข้อมูลโรงเรียน'!$C$12-543,7,1),0)),"",DATE('ข้อมูลโรงเรียน'!$C$12-543,7,14))</f>
        <v/>
      </c>
      <c r="CH1" s="1148">
        <f>IF(15&gt;DAY(EOMONTH(DATE('ข้อมูลโรงเรียน'!$C$12-543,7,1),0)),"",DATE('ข้อมูลโรงเรียน'!$C$12-543,7,15))</f>
        <v/>
      </c>
      <c r="CI1" s="1148">
        <f>IF(16&gt;DAY(EOMONTH(DATE('ข้อมูลโรงเรียน'!$C$12-543,7,1),0)),"",DATE('ข้อมูลโรงเรียน'!$C$12-543,7,16))</f>
        <v/>
      </c>
      <c r="CJ1" s="1148">
        <f>IF(17&gt;DAY(EOMONTH(DATE('ข้อมูลโรงเรียน'!$C$12-543,7,1),0)),"",DATE('ข้อมูลโรงเรียน'!$C$12-543,7,17))</f>
        <v/>
      </c>
      <c r="CK1" s="1148">
        <f>IF(18&gt;DAY(EOMONTH(DATE('ข้อมูลโรงเรียน'!$C$12-543,7,1),0)),"",DATE('ข้อมูลโรงเรียน'!$C$12-543,7,18))</f>
        <v/>
      </c>
      <c r="CL1" s="1148">
        <f>IF(19&gt;DAY(EOMONTH(DATE('ข้อมูลโรงเรียน'!$C$12-543,7,1),0)),"",DATE('ข้อมูลโรงเรียน'!$C$12-543,7,19))</f>
        <v/>
      </c>
      <c r="CM1" s="1148">
        <f>IF(20&gt;DAY(EOMONTH(DATE('ข้อมูลโรงเรียน'!$C$12-543,7,1),0)),"",DATE('ข้อมูลโรงเรียน'!$C$12-543,7,20))</f>
        <v/>
      </c>
      <c r="CN1" s="1148">
        <f>IF(21&gt;DAY(EOMONTH(DATE('ข้อมูลโรงเรียน'!$C$12-543,7,1),0)),"",DATE('ข้อมูลโรงเรียน'!$C$12-543,7,21))</f>
        <v/>
      </c>
      <c r="CO1" s="1148">
        <f>IF(22&gt;DAY(EOMONTH(DATE('ข้อมูลโรงเรียน'!$C$12-543,7,1),0)),"",DATE('ข้อมูลโรงเรียน'!$C$12-543,7,22))</f>
        <v/>
      </c>
      <c r="CP1" s="1148">
        <f>IF(23&gt;DAY(EOMONTH(DATE('ข้อมูลโรงเรียน'!$C$12-543,7,1),0)),"",DATE('ข้อมูลโรงเรียน'!$C$12-543,7,23))</f>
        <v/>
      </c>
      <c r="CQ1" s="1148">
        <f>IF(24&gt;DAY(EOMONTH(DATE('ข้อมูลโรงเรียน'!$C$12-543,7,1),0)),"",DATE('ข้อมูลโรงเรียน'!$C$12-543,7,24))</f>
        <v/>
      </c>
      <c r="CR1" s="1148">
        <f>IF(25&gt;DAY(EOMONTH(DATE('ข้อมูลโรงเรียน'!$C$12-543,7,1),0)),"",DATE('ข้อมูลโรงเรียน'!$C$12-543,7,25))</f>
        <v/>
      </c>
      <c r="CS1" s="1148">
        <f>IF(26&gt;DAY(EOMONTH(DATE('ข้อมูลโรงเรียน'!$C$12-543,7,1),0)),"",DATE('ข้อมูลโรงเรียน'!$C$12-543,7,26))</f>
        <v/>
      </c>
      <c r="CT1" s="1148">
        <f>IF(27&gt;DAY(EOMONTH(DATE('ข้อมูลโรงเรียน'!$C$12-543,7,1),0)),"",DATE('ข้อมูลโรงเรียน'!$C$12-543,7,27))</f>
        <v/>
      </c>
      <c r="CU1" s="1148">
        <f>IF(28&gt;DAY(EOMONTH(DATE('ข้อมูลโรงเรียน'!$C$12-543,7,1),0)),"",DATE('ข้อมูลโรงเรียน'!$C$12-543,7,28))</f>
        <v/>
      </c>
      <c r="CV1" s="1148">
        <f>IF(29&gt;DAY(EOMONTH(DATE('ข้อมูลโรงเรียน'!$C$12-543,7,1),0)),"",DATE('ข้อมูลโรงเรียน'!$C$12-543,7,29))</f>
        <v/>
      </c>
      <c r="CW1" s="1148">
        <f>IF(30&gt;DAY(EOMONTH(DATE('ข้อมูลโรงเรียน'!$C$12-543,7,1),0)),"",DATE('ข้อมูลโรงเรียน'!$C$12-543,7,30))</f>
        <v/>
      </c>
      <c r="CX1" s="1148">
        <f>IF(31&gt;DAY(EOMONTH(DATE('ข้อมูลโรงเรียน'!$C$12-543,7,1),0)),"",DATE('ข้อมูลโรงเรียน'!$C$12-543,7,31))</f>
        <v/>
      </c>
      <c r="DB1" s="1148">
        <f>IF(1&gt;DAY(EOMONTH(DATE('ข้อมูลโรงเรียน'!$C$12-543,8,1),0)),"",DATE('ข้อมูลโรงเรียน'!$C$12-543,8,1))</f>
        <v/>
      </c>
      <c r="DC1" s="1148">
        <f>IF(2&gt;DAY(EOMONTH(DATE('ข้อมูลโรงเรียน'!$C$12-543,8,1),0)),"",DATE('ข้อมูลโรงเรียน'!$C$12-543,8,2))</f>
        <v/>
      </c>
      <c r="DD1" s="1148">
        <f>IF(3&gt;DAY(EOMONTH(DATE('ข้อมูลโรงเรียน'!$C$12-543,8,1),0)),"",DATE('ข้อมูลโรงเรียน'!$C$12-543,8,3))</f>
        <v/>
      </c>
      <c r="DE1" s="1148">
        <f>IF(4&gt;DAY(EOMONTH(DATE('ข้อมูลโรงเรียน'!$C$12-543,8,1),0)),"",DATE('ข้อมูลโรงเรียน'!$C$12-543,8,4))</f>
        <v/>
      </c>
      <c r="DF1" s="1148">
        <f>IF(5&gt;DAY(EOMONTH(DATE('ข้อมูลโรงเรียน'!$C$12-543,8,1),0)),"",DATE('ข้อมูลโรงเรียน'!$C$12-543,8,5))</f>
        <v/>
      </c>
      <c r="DG1" s="1148">
        <f>IF(6&gt;DAY(EOMONTH(DATE('ข้อมูลโรงเรียน'!$C$12-543,8,1),0)),"",DATE('ข้อมูลโรงเรียน'!$C$12-543,8,6))</f>
        <v/>
      </c>
      <c r="DH1" s="1148">
        <f>IF(7&gt;DAY(EOMONTH(DATE('ข้อมูลโรงเรียน'!$C$12-543,8,1),0)),"",DATE('ข้อมูลโรงเรียน'!$C$12-543,8,7))</f>
        <v/>
      </c>
      <c r="DI1" s="1148">
        <f>IF(8&gt;DAY(EOMONTH(DATE('ข้อมูลโรงเรียน'!$C$12-543,8,1),0)),"",DATE('ข้อมูลโรงเรียน'!$C$12-543,8,8))</f>
        <v/>
      </c>
      <c r="DJ1" s="1148">
        <f>IF(9&gt;DAY(EOMONTH(DATE('ข้อมูลโรงเรียน'!$C$12-543,8,1),0)),"",DATE('ข้อมูลโรงเรียน'!$C$12-543,8,9))</f>
        <v/>
      </c>
      <c r="DK1" s="1148">
        <f>IF(10&gt;DAY(EOMONTH(DATE('ข้อมูลโรงเรียน'!$C$12-543,8,1),0)),"",DATE('ข้อมูลโรงเรียน'!$C$12-543,8,10))</f>
        <v/>
      </c>
      <c r="DL1" s="1148">
        <f>IF(11&gt;DAY(EOMONTH(DATE('ข้อมูลโรงเรียน'!$C$12-543,8,1),0)),"",DATE('ข้อมูลโรงเรียน'!$C$12-543,8,11))</f>
        <v/>
      </c>
      <c r="DM1" s="1148">
        <f>IF(12&gt;DAY(EOMONTH(DATE('ข้อมูลโรงเรียน'!$C$12-543,8,1),0)),"",DATE('ข้อมูลโรงเรียน'!$C$12-543,8,12))</f>
        <v/>
      </c>
      <c r="DN1" s="1148">
        <f>IF(13&gt;DAY(EOMONTH(DATE('ข้อมูลโรงเรียน'!$C$12-543,8,1),0)),"",DATE('ข้อมูลโรงเรียน'!$C$12-543,8,13))</f>
        <v/>
      </c>
      <c r="DO1" s="1148">
        <f>IF(14&gt;DAY(EOMONTH(DATE('ข้อมูลโรงเรียน'!$C$12-543,8,1),0)),"",DATE('ข้อมูลโรงเรียน'!$C$12-543,8,14))</f>
        <v/>
      </c>
      <c r="DP1" s="1148">
        <f>IF(15&gt;DAY(EOMONTH(DATE('ข้อมูลโรงเรียน'!$C$12-543,8,1),0)),"",DATE('ข้อมูลโรงเรียน'!$C$12-543,8,15))</f>
        <v/>
      </c>
      <c r="DQ1" s="1148">
        <f>IF(16&gt;DAY(EOMONTH(DATE('ข้อมูลโรงเรียน'!$C$12-543,8,1),0)),"",DATE('ข้อมูลโรงเรียน'!$C$12-543,8,16))</f>
        <v/>
      </c>
      <c r="DR1" s="1148">
        <f>IF(17&gt;DAY(EOMONTH(DATE('ข้อมูลโรงเรียน'!$C$12-543,8,1),0)),"",DATE('ข้อมูลโรงเรียน'!$C$12-543,8,17))</f>
        <v/>
      </c>
      <c r="DS1" s="1148">
        <f>IF(18&gt;DAY(EOMONTH(DATE('ข้อมูลโรงเรียน'!$C$12-543,8,1),0)),"",DATE('ข้อมูลโรงเรียน'!$C$12-543,8,18))</f>
        <v/>
      </c>
      <c r="DT1" s="1148">
        <f>IF(19&gt;DAY(EOMONTH(DATE('ข้อมูลโรงเรียน'!$C$12-543,8,1),0)),"",DATE('ข้อมูลโรงเรียน'!$C$12-543,8,19))</f>
        <v/>
      </c>
      <c r="DU1" s="1148">
        <f>IF(20&gt;DAY(EOMONTH(DATE('ข้อมูลโรงเรียน'!$C$12-543,8,1),0)),"",DATE('ข้อมูลโรงเรียน'!$C$12-543,8,20))</f>
        <v/>
      </c>
      <c r="DV1" s="1148">
        <f>IF(21&gt;DAY(EOMONTH(DATE('ข้อมูลโรงเรียน'!$C$12-543,8,1),0)),"",DATE('ข้อมูลโรงเรียน'!$C$12-543,8,21))</f>
        <v/>
      </c>
      <c r="DW1" s="1148">
        <f>IF(22&gt;DAY(EOMONTH(DATE('ข้อมูลโรงเรียน'!$C$12-543,8,1),0)),"",DATE('ข้อมูลโรงเรียน'!$C$12-543,8,22))</f>
        <v/>
      </c>
      <c r="DX1" s="1148">
        <f>IF(23&gt;DAY(EOMONTH(DATE('ข้อมูลโรงเรียน'!$C$12-543,8,1),0)),"",DATE('ข้อมูลโรงเรียน'!$C$12-543,8,23))</f>
        <v/>
      </c>
      <c r="DY1" s="1148">
        <f>IF(24&gt;DAY(EOMONTH(DATE('ข้อมูลโรงเรียน'!$C$12-543,8,1),0)),"",DATE('ข้อมูลโรงเรียน'!$C$12-543,8,24))</f>
        <v/>
      </c>
      <c r="DZ1" s="1148">
        <f>IF(25&gt;DAY(EOMONTH(DATE('ข้อมูลโรงเรียน'!$C$12-543,8,1),0)),"",DATE('ข้อมูลโรงเรียน'!$C$12-543,8,25))</f>
        <v/>
      </c>
      <c r="EA1" s="1148">
        <f>IF(26&gt;DAY(EOMONTH(DATE('ข้อมูลโรงเรียน'!$C$12-543,8,1),0)),"",DATE('ข้อมูลโรงเรียน'!$C$12-543,8,26))</f>
        <v/>
      </c>
      <c r="EB1" s="1148">
        <f>IF(27&gt;DAY(EOMONTH(DATE('ข้อมูลโรงเรียน'!$C$12-543,8,1),0)),"",DATE('ข้อมูลโรงเรียน'!$C$12-543,8,27))</f>
        <v/>
      </c>
      <c r="EC1" s="1148">
        <f>IF(28&gt;DAY(EOMONTH(DATE('ข้อมูลโรงเรียน'!$C$12-543,8,1),0)),"",DATE('ข้อมูลโรงเรียน'!$C$12-543,8,28))</f>
        <v/>
      </c>
      <c r="ED1" s="1148">
        <f>IF(29&gt;DAY(EOMONTH(DATE('ข้อมูลโรงเรียน'!$C$12-543,8,1),0)),"",DATE('ข้อมูลโรงเรียน'!$C$12-543,8,29))</f>
        <v/>
      </c>
      <c r="EE1" s="1148">
        <f>IF(30&gt;DAY(EOMONTH(DATE('ข้อมูลโรงเรียน'!$C$12-543,8,1),0)),"",DATE('ข้อมูลโรงเรียน'!$C$12-543,8,30))</f>
        <v/>
      </c>
      <c r="EF1" s="1148">
        <f>IF(31&gt;DAY(EOMONTH(DATE('ข้อมูลโรงเรียน'!$C$12-543,8,1),0)),"",DATE('ข้อมูลโรงเรียน'!$C$12-543,8,31))</f>
        <v/>
      </c>
      <c r="EJ1" s="1148">
        <f>IF(1&gt;DAY(EOMONTH(DATE('ข้อมูลโรงเรียน'!$C$12-543,9,1),0)),"",DATE('ข้อมูลโรงเรียน'!$C$12-543,9,1))</f>
        <v/>
      </c>
      <c r="EK1" s="1148">
        <f>IF(2&gt;DAY(EOMONTH(DATE('ข้อมูลโรงเรียน'!$C$12-543,9,1),0)),"",DATE('ข้อมูลโรงเรียน'!$C$12-543,9,2))</f>
        <v/>
      </c>
      <c r="EL1" s="1148">
        <f>IF(3&gt;DAY(EOMONTH(DATE('ข้อมูลโรงเรียน'!$C$12-543,9,1),0)),"",DATE('ข้อมูลโรงเรียน'!$C$12-543,9,3))</f>
        <v/>
      </c>
      <c r="EM1" s="1148">
        <f>IF(4&gt;DAY(EOMONTH(DATE('ข้อมูลโรงเรียน'!$C$12-543,9,1),0)),"",DATE('ข้อมูลโรงเรียน'!$C$12-543,9,4))</f>
        <v/>
      </c>
      <c r="EN1" s="1148">
        <f>IF(5&gt;DAY(EOMONTH(DATE('ข้อมูลโรงเรียน'!$C$12-543,9,1),0)),"",DATE('ข้อมูลโรงเรียน'!$C$12-543,9,5))</f>
        <v/>
      </c>
      <c r="EO1" s="1148">
        <f>IF(6&gt;DAY(EOMONTH(DATE('ข้อมูลโรงเรียน'!$C$12-543,9,1),0)),"",DATE('ข้อมูลโรงเรียน'!$C$12-543,9,6))</f>
        <v/>
      </c>
      <c r="EP1" s="1148">
        <f>IF(7&gt;DAY(EOMONTH(DATE('ข้อมูลโรงเรียน'!$C$12-543,9,1),0)),"",DATE('ข้อมูลโรงเรียน'!$C$12-543,9,7))</f>
        <v/>
      </c>
      <c r="EQ1" s="1148">
        <f>IF(8&gt;DAY(EOMONTH(DATE('ข้อมูลโรงเรียน'!$C$12-543,9,1),0)),"",DATE('ข้อมูลโรงเรียน'!$C$12-543,9,8))</f>
        <v/>
      </c>
      <c r="ER1" s="1148">
        <f>IF(9&gt;DAY(EOMONTH(DATE('ข้อมูลโรงเรียน'!$C$12-543,9,1),0)),"",DATE('ข้อมูลโรงเรียน'!$C$12-543,9,9))</f>
        <v/>
      </c>
      <c r="ES1" s="1148">
        <f>IF(10&gt;DAY(EOMONTH(DATE('ข้อมูลโรงเรียน'!$C$12-543,9,1),0)),"",DATE('ข้อมูลโรงเรียน'!$C$12-543,9,10))</f>
        <v/>
      </c>
      <c r="ET1" s="1148">
        <f>IF(11&gt;DAY(EOMONTH(DATE('ข้อมูลโรงเรียน'!$C$12-543,9,1),0)),"",DATE('ข้อมูลโรงเรียน'!$C$12-543,9,11))</f>
        <v/>
      </c>
      <c r="EU1" s="1148">
        <f>IF(12&gt;DAY(EOMONTH(DATE('ข้อมูลโรงเรียน'!$C$12-543,9,1),0)),"",DATE('ข้อมูลโรงเรียน'!$C$12-543,9,12))</f>
        <v/>
      </c>
      <c r="EV1" s="1148">
        <f>IF(13&gt;DAY(EOMONTH(DATE('ข้อมูลโรงเรียน'!$C$12-543,9,1),0)),"",DATE('ข้อมูลโรงเรียน'!$C$12-543,9,13))</f>
        <v/>
      </c>
      <c r="EW1" s="1148">
        <f>IF(14&gt;DAY(EOMONTH(DATE('ข้อมูลโรงเรียน'!$C$12-543,9,1),0)),"",DATE('ข้อมูลโรงเรียน'!$C$12-543,9,14))</f>
        <v/>
      </c>
      <c r="EX1" s="1148">
        <f>IF(15&gt;DAY(EOMONTH(DATE('ข้อมูลโรงเรียน'!$C$12-543,9,1),0)),"",DATE('ข้อมูลโรงเรียน'!$C$12-543,9,15))</f>
        <v/>
      </c>
      <c r="EY1" s="1148">
        <f>IF(16&gt;DAY(EOMONTH(DATE('ข้อมูลโรงเรียน'!$C$12-543,9,1),0)),"",DATE('ข้อมูลโรงเรียน'!$C$12-543,9,16))</f>
        <v/>
      </c>
      <c r="EZ1" s="1148">
        <f>IF(17&gt;DAY(EOMONTH(DATE('ข้อมูลโรงเรียน'!$C$12-543,9,1),0)),"",DATE('ข้อมูลโรงเรียน'!$C$12-543,9,17))</f>
        <v/>
      </c>
      <c r="FA1" s="1148">
        <f>IF(18&gt;DAY(EOMONTH(DATE('ข้อมูลโรงเรียน'!$C$12-543,9,1),0)),"",DATE('ข้อมูลโรงเรียน'!$C$12-543,9,18))</f>
        <v/>
      </c>
      <c r="FB1" s="1148">
        <f>IF(19&gt;DAY(EOMONTH(DATE('ข้อมูลโรงเรียน'!$C$12-543,9,1),0)),"",DATE('ข้อมูลโรงเรียน'!$C$12-543,9,19))</f>
        <v/>
      </c>
      <c r="FC1" s="1148">
        <f>IF(20&gt;DAY(EOMONTH(DATE('ข้อมูลโรงเรียน'!$C$12-543,9,1),0)),"",DATE('ข้อมูลโรงเรียน'!$C$12-543,9,20))</f>
        <v/>
      </c>
      <c r="FD1" s="1148">
        <f>IF(21&gt;DAY(EOMONTH(DATE('ข้อมูลโรงเรียน'!$C$12-543,9,1),0)),"",DATE('ข้อมูลโรงเรียน'!$C$12-543,9,21))</f>
        <v/>
      </c>
      <c r="FE1" s="1148">
        <f>IF(22&gt;DAY(EOMONTH(DATE('ข้อมูลโรงเรียน'!$C$12-543,9,1),0)),"",DATE('ข้อมูลโรงเรียน'!$C$12-543,9,22))</f>
        <v/>
      </c>
      <c r="FF1" s="1148">
        <f>IF(23&gt;DAY(EOMONTH(DATE('ข้อมูลโรงเรียน'!$C$12-543,9,1),0)),"",DATE('ข้อมูลโรงเรียน'!$C$12-543,9,23))</f>
        <v/>
      </c>
      <c r="FG1" s="1148">
        <f>IF(24&gt;DAY(EOMONTH(DATE('ข้อมูลโรงเรียน'!$C$12-543,9,1),0)),"",DATE('ข้อมูลโรงเรียน'!$C$12-543,9,24))</f>
        <v/>
      </c>
      <c r="FH1" s="1148">
        <f>IF(25&gt;DAY(EOMONTH(DATE('ข้อมูลโรงเรียน'!$C$12-543,9,1),0)),"",DATE('ข้อมูลโรงเรียน'!$C$12-543,9,25))</f>
        <v/>
      </c>
      <c r="FI1" s="1148">
        <f>IF(26&gt;DAY(EOMONTH(DATE('ข้อมูลโรงเรียน'!$C$12-543,9,1),0)),"",DATE('ข้อมูลโรงเรียน'!$C$12-543,9,26))</f>
        <v/>
      </c>
      <c r="FJ1" s="1148">
        <f>IF(27&gt;DAY(EOMONTH(DATE('ข้อมูลโรงเรียน'!$C$12-543,9,1),0)),"",DATE('ข้อมูลโรงเรียน'!$C$12-543,9,27))</f>
        <v/>
      </c>
      <c r="FK1" s="1148">
        <f>IF(28&gt;DAY(EOMONTH(DATE('ข้อมูลโรงเรียน'!$C$12-543,9,1),0)),"",DATE('ข้อมูลโรงเรียน'!$C$12-543,9,28))</f>
        <v/>
      </c>
      <c r="FL1" s="1148">
        <f>IF(29&gt;DAY(EOMONTH(DATE('ข้อมูลโรงเรียน'!$C$12-543,9,1),0)),"",DATE('ข้อมูลโรงเรียน'!$C$12-543,9,29))</f>
        <v/>
      </c>
      <c r="FM1" s="1148">
        <f>IF(30&gt;DAY(EOMONTH(DATE('ข้อมูลโรงเรียน'!$C$12-543,9,1),0)),"",DATE('ข้อมูลโรงเรียน'!$C$12-543,9,30))</f>
        <v/>
      </c>
      <c r="FN1" s="1148">
        <f>IF(31&gt;DAY(EOMONTH(DATE('ข้อมูลโรงเรียน'!$C$12-543,9,1),0)),"",DATE('ข้อมูลโรงเรียน'!$C$12-543,9,31))</f>
        <v/>
      </c>
      <c r="FR1" s="1148">
        <f>IF(1&gt;DAY(EOMONTH(DATE('ข้อมูลโรงเรียน'!$C$12-543,10,1),0)),"",DATE('ข้อมูลโรงเรียน'!$C$12-543,10,1))</f>
        <v/>
      </c>
      <c r="FS1" s="1148">
        <f>IF(2&gt;DAY(EOMONTH(DATE('ข้อมูลโรงเรียน'!$C$12-543,10,1),0)),"",DATE('ข้อมูลโรงเรียน'!$C$12-543,10,2))</f>
        <v/>
      </c>
      <c r="FT1" s="1148">
        <f>IF(3&gt;DAY(EOMONTH(DATE('ข้อมูลโรงเรียน'!$C$12-543,10,1),0)),"",DATE('ข้อมูลโรงเรียน'!$C$12-543,10,3))</f>
        <v/>
      </c>
      <c r="FU1" s="1148">
        <f>IF(4&gt;DAY(EOMONTH(DATE('ข้อมูลโรงเรียน'!$C$12-543,10,1),0)),"",DATE('ข้อมูลโรงเรียน'!$C$12-543,10,4))</f>
        <v/>
      </c>
      <c r="FV1" s="1148">
        <f>IF(5&gt;DAY(EOMONTH(DATE('ข้อมูลโรงเรียน'!$C$12-543,10,1),0)),"",DATE('ข้อมูลโรงเรียน'!$C$12-543,10,5))</f>
        <v/>
      </c>
      <c r="FW1" s="1148">
        <f>IF(6&gt;DAY(EOMONTH(DATE('ข้อมูลโรงเรียน'!$C$12-543,10,1),0)),"",DATE('ข้อมูลโรงเรียน'!$C$12-543,10,6))</f>
        <v/>
      </c>
      <c r="FX1" s="1148">
        <f>IF(7&gt;DAY(EOMONTH(DATE('ข้อมูลโรงเรียน'!$C$12-543,10,1),0)),"",DATE('ข้อมูลโรงเรียน'!$C$12-543,10,7))</f>
        <v/>
      </c>
      <c r="FY1" s="1148">
        <f>IF(8&gt;DAY(EOMONTH(DATE('ข้อมูลโรงเรียน'!$C$12-543,10,1),0)),"",DATE('ข้อมูลโรงเรียน'!$C$12-543,10,8))</f>
        <v/>
      </c>
      <c r="FZ1" s="1148">
        <f>IF(9&gt;DAY(EOMONTH(DATE('ข้อมูลโรงเรียน'!$C$12-543,10,1),0)),"",DATE('ข้อมูลโรงเรียน'!$C$12-543,10,9))</f>
        <v/>
      </c>
      <c r="GA1" s="1148">
        <f>IF(10&gt;DAY(EOMONTH(DATE('ข้อมูลโรงเรียน'!$C$12-543,10,1),0)),"",DATE('ข้อมูลโรงเรียน'!$C$12-543,10,10))</f>
        <v/>
      </c>
      <c r="GB1" s="1148">
        <f>IF(11&gt;DAY(EOMONTH(DATE('ข้อมูลโรงเรียน'!$C$12-543,10,1),0)),"",DATE('ข้อมูลโรงเรียน'!$C$12-543,10,11))</f>
        <v/>
      </c>
      <c r="GC1" s="1148">
        <f>IF(12&gt;DAY(EOMONTH(DATE('ข้อมูลโรงเรียน'!$C$12-543,10,1),0)),"",DATE('ข้อมูลโรงเรียน'!$C$12-543,10,12))</f>
        <v/>
      </c>
      <c r="GD1" s="1148">
        <f>IF(13&gt;DAY(EOMONTH(DATE('ข้อมูลโรงเรียน'!$C$12-543,10,1),0)),"",DATE('ข้อมูลโรงเรียน'!$C$12-543,10,13))</f>
        <v/>
      </c>
      <c r="GE1" s="1148">
        <f>IF(14&gt;DAY(EOMONTH(DATE('ข้อมูลโรงเรียน'!$C$12-543,10,1),0)),"",DATE('ข้อมูลโรงเรียน'!$C$12-543,10,14))</f>
        <v/>
      </c>
      <c r="GF1" s="1148">
        <f>IF(15&gt;DAY(EOMONTH(DATE('ข้อมูลโรงเรียน'!$C$12-543,10,1),0)),"",DATE('ข้อมูลโรงเรียน'!$C$12-543,10,15))</f>
        <v/>
      </c>
      <c r="GG1" s="1148">
        <f>IF(16&gt;DAY(EOMONTH(DATE('ข้อมูลโรงเรียน'!$C$12-543,10,1),0)),"",DATE('ข้อมูลโรงเรียน'!$C$12-543,10,16))</f>
        <v/>
      </c>
      <c r="GH1" s="1148">
        <f>IF(17&gt;DAY(EOMONTH(DATE('ข้อมูลโรงเรียน'!$C$12-543,10,1),0)),"",DATE('ข้อมูลโรงเรียน'!$C$12-543,10,17))</f>
        <v/>
      </c>
      <c r="GI1" s="1148">
        <f>IF(18&gt;DAY(EOMONTH(DATE('ข้อมูลโรงเรียน'!$C$12-543,10,1),0)),"",DATE('ข้อมูลโรงเรียน'!$C$12-543,10,18))</f>
        <v/>
      </c>
      <c r="GJ1" s="1148">
        <f>IF(19&gt;DAY(EOMONTH(DATE('ข้อมูลโรงเรียน'!$C$12-543,10,1),0)),"",DATE('ข้อมูลโรงเรียน'!$C$12-543,10,19))</f>
        <v/>
      </c>
      <c r="GK1" s="1148">
        <f>IF(20&gt;DAY(EOMONTH(DATE('ข้อมูลโรงเรียน'!$C$12-543,10,1),0)),"",DATE('ข้อมูลโรงเรียน'!$C$12-543,10,20))</f>
        <v/>
      </c>
      <c r="GL1" s="1148">
        <f>IF(21&gt;DAY(EOMONTH(DATE('ข้อมูลโรงเรียน'!$C$12-543,10,1),0)),"",DATE('ข้อมูลโรงเรียน'!$C$12-543,10,21))</f>
        <v/>
      </c>
      <c r="GM1" s="1148">
        <f>IF(22&gt;DAY(EOMONTH(DATE('ข้อมูลโรงเรียน'!$C$12-543,10,1),0)),"",DATE('ข้อมูลโรงเรียน'!$C$12-543,10,22))</f>
        <v/>
      </c>
      <c r="GN1" s="1148">
        <f>IF(23&gt;DAY(EOMONTH(DATE('ข้อมูลโรงเรียน'!$C$12-543,10,1),0)),"",DATE('ข้อมูลโรงเรียน'!$C$12-543,10,23))</f>
        <v/>
      </c>
      <c r="GO1" s="1148">
        <f>IF(24&gt;DAY(EOMONTH(DATE('ข้อมูลโรงเรียน'!$C$12-543,10,1),0)),"",DATE('ข้อมูลโรงเรียน'!$C$12-543,10,24))</f>
        <v/>
      </c>
      <c r="GP1" s="1148">
        <f>IF(25&gt;DAY(EOMONTH(DATE('ข้อมูลโรงเรียน'!$C$12-543,10,1),0)),"",DATE('ข้อมูลโรงเรียน'!$C$12-543,10,25))</f>
        <v/>
      </c>
      <c r="GQ1" s="1148">
        <f>IF(26&gt;DAY(EOMONTH(DATE('ข้อมูลโรงเรียน'!$C$12-543,10,1),0)),"",DATE('ข้อมูลโรงเรียน'!$C$12-543,10,26))</f>
        <v/>
      </c>
      <c r="GR1" s="1148">
        <f>IF(27&gt;DAY(EOMONTH(DATE('ข้อมูลโรงเรียน'!$C$12-543,10,1),0)),"",DATE('ข้อมูลโรงเรียน'!$C$12-543,10,27))</f>
        <v/>
      </c>
      <c r="GS1" s="1148">
        <f>IF(28&gt;DAY(EOMONTH(DATE('ข้อมูลโรงเรียน'!$C$12-543,10,1),0)),"",DATE('ข้อมูลโรงเรียน'!$C$12-543,10,28))</f>
        <v/>
      </c>
      <c r="GT1" s="1148">
        <f>IF(29&gt;DAY(EOMONTH(DATE('ข้อมูลโรงเรียน'!$C$12-543,10,1),0)),"",DATE('ข้อมูลโรงเรียน'!$C$12-543,10,29))</f>
        <v/>
      </c>
      <c r="GU1" s="1148">
        <f>IF(30&gt;DAY(EOMONTH(DATE('ข้อมูลโรงเรียน'!$C$12-543,10,1),0)),"",DATE('ข้อมูลโรงเรียน'!$C$12-543,10,30))</f>
        <v/>
      </c>
      <c r="GV1" s="1148">
        <f>IF(31&gt;DAY(EOMONTH(DATE('ข้อมูลโรงเรียน'!$C$12-543,10,1),0)),"",DATE('ข้อมูลโรงเรียน'!$C$12-543,10,31))</f>
        <v/>
      </c>
    </row>
    <row r="2">
      <c r="A2" t="inlineStr">
        <is>
          <t>ภ1 สถานะ</t>
        </is>
      </c>
      <c r="D2">
        <f>IF(D1="",0,IF(OR(D1&lt;'ข้อมูลโรงเรียน'!$Z$15,D1&gt;'ข้อมูลโรงเรียน'!$Z$16),4,IF(WEEKDAY(D1,2)&gt;5,2,IF(COUNTIF('ข้อมูลโรงเรียน'!$Z$22:$Z$61,D1)&gt;0,3,1))))</f>
        <v/>
      </c>
      <c r="E2">
        <f>IF(E1="",0,IF(OR(E1&lt;'ข้อมูลโรงเรียน'!$Z$15,E1&gt;'ข้อมูลโรงเรียน'!$Z$16),4,IF(WEEKDAY(E1,2)&gt;5,2,IF(COUNTIF('ข้อมูลโรงเรียน'!$Z$22:$Z$61,E1)&gt;0,3,1))))</f>
        <v/>
      </c>
      <c r="F2">
        <f>IF(F1="",0,IF(OR(F1&lt;'ข้อมูลโรงเรียน'!$Z$15,F1&gt;'ข้อมูลโรงเรียน'!$Z$16),4,IF(WEEKDAY(F1,2)&gt;5,2,IF(COUNTIF('ข้อมูลโรงเรียน'!$Z$22:$Z$61,F1)&gt;0,3,1))))</f>
        <v/>
      </c>
      <c r="G2">
        <f>IF(G1="",0,IF(OR(G1&lt;'ข้อมูลโรงเรียน'!$Z$15,G1&gt;'ข้อมูลโรงเรียน'!$Z$16),4,IF(WEEKDAY(G1,2)&gt;5,2,IF(COUNTIF('ข้อมูลโรงเรียน'!$Z$22:$Z$61,G1)&gt;0,3,1))))</f>
        <v/>
      </c>
      <c r="H2">
        <f>IF(H1="",0,IF(OR(H1&lt;'ข้อมูลโรงเรียน'!$Z$15,H1&gt;'ข้อมูลโรงเรียน'!$Z$16),4,IF(WEEKDAY(H1,2)&gt;5,2,IF(COUNTIF('ข้อมูลโรงเรียน'!$Z$22:$Z$61,H1)&gt;0,3,1))))</f>
        <v/>
      </c>
      <c r="I2">
        <f>IF(I1="",0,IF(OR(I1&lt;'ข้อมูลโรงเรียน'!$Z$15,I1&gt;'ข้อมูลโรงเรียน'!$Z$16),4,IF(WEEKDAY(I1,2)&gt;5,2,IF(COUNTIF('ข้อมูลโรงเรียน'!$Z$22:$Z$61,I1)&gt;0,3,1))))</f>
        <v/>
      </c>
      <c r="J2">
        <f>IF(J1="",0,IF(OR(J1&lt;'ข้อมูลโรงเรียน'!$Z$15,J1&gt;'ข้อมูลโรงเรียน'!$Z$16),4,IF(WEEKDAY(J1,2)&gt;5,2,IF(COUNTIF('ข้อมูลโรงเรียน'!$Z$22:$Z$61,J1)&gt;0,3,1))))</f>
        <v/>
      </c>
      <c r="K2">
        <f>IF(K1="",0,IF(OR(K1&lt;'ข้อมูลโรงเรียน'!$Z$15,K1&gt;'ข้อมูลโรงเรียน'!$Z$16),4,IF(WEEKDAY(K1,2)&gt;5,2,IF(COUNTIF('ข้อมูลโรงเรียน'!$Z$22:$Z$61,K1)&gt;0,3,1))))</f>
        <v/>
      </c>
      <c r="L2">
        <f>IF(L1="",0,IF(OR(L1&lt;'ข้อมูลโรงเรียน'!$Z$15,L1&gt;'ข้อมูลโรงเรียน'!$Z$16),4,IF(WEEKDAY(L1,2)&gt;5,2,IF(COUNTIF('ข้อมูลโรงเรียน'!$Z$22:$Z$61,L1)&gt;0,3,1))))</f>
        <v/>
      </c>
      <c r="M2">
        <f>IF(M1="",0,IF(OR(M1&lt;'ข้อมูลโรงเรียน'!$Z$15,M1&gt;'ข้อมูลโรงเรียน'!$Z$16),4,IF(WEEKDAY(M1,2)&gt;5,2,IF(COUNTIF('ข้อมูลโรงเรียน'!$Z$22:$Z$61,M1)&gt;0,3,1))))</f>
        <v/>
      </c>
      <c r="N2">
        <f>IF(N1="",0,IF(OR(N1&lt;'ข้อมูลโรงเรียน'!$Z$15,N1&gt;'ข้อมูลโรงเรียน'!$Z$16),4,IF(WEEKDAY(N1,2)&gt;5,2,IF(COUNTIF('ข้อมูลโรงเรียน'!$Z$22:$Z$61,N1)&gt;0,3,1))))</f>
        <v/>
      </c>
      <c r="O2">
        <f>IF(O1="",0,IF(OR(O1&lt;'ข้อมูลโรงเรียน'!$Z$15,O1&gt;'ข้อมูลโรงเรียน'!$Z$16),4,IF(WEEKDAY(O1,2)&gt;5,2,IF(COUNTIF('ข้อมูลโรงเรียน'!$Z$22:$Z$61,O1)&gt;0,3,1))))</f>
        <v/>
      </c>
      <c r="P2">
        <f>IF(P1="",0,IF(OR(P1&lt;'ข้อมูลโรงเรียน'!$Z$15,P1&gt;'ข้อมูลโรงเรียน'!$Z$16),4,IF(WEEKDAY(P1,2)&gt;5,2,IF(COUNTIF('ข้อมูลโรงเรียน'!$Z$22:$Z$61,P1)&gt;0,3,1))))</f>
        <v/>
      </c>
      <c r="Q2">
        <f>IF(Q1="",0,IF(OR(Q1&lt;'ข้อมูลโรงเรียน'!$Z$15,Q1&gt;'ข้อมูลโรงเรียน'!$Z$16),4,IF(WEEKDAY(Q1,2)&gt;5,2,IF(COUNTIF('ข้อมูลโรงเรียน'!$Z$22:$Z$61,Q1)&gt;0,3,1))))</f>
        <v/>
      </c>
      <c r="R2">
        <f>IF(R1="",0,IF(OR(R1&lt;'ข้อมูลโรงเรียน'!$Z$15,R1&gt;'ข้อมูลโรงเรียน'!$Z$16),4,IF(WEEKDAY(R1,2)&gt;5,2,IF(COUNTIF('ข้อมูลโรงเรียน'!$Z$22:$Z$61,R1)&gt;0,3,1))))</f>
        <v/>
      </c>
      <c r="S2">
        <f>IF(S1="",0,IF(OR(S1&lt;'ข้อมูลโรงเรียน'!$Z$15,S1&gt;'ข้อมูลโรงเรียน'!$Z$16),4,IF(WEEKDAY(S1,2)&gt;5,2,IF(COUNTIF('ข้อมูลโรงเรียน'!$Z$22:$Z$61,S1)&gt;0,3,1))))</f>
        <v/>
      </c>
      <c r="T2">
        <f>IF(T1="",0,IF(OR(T1&lt;'ข้อมูลโรงเรียน'!$Z$15,T1&gt;'ข้อมูลโรงเรียน'!$Z$16),4,IF(WEEKDAY(T1,2)&gt;5,2,IF(COUNTIF('ข้อมูลโรงเรียน'!$Z$22:$Z$61,T1)&gt;0,3,1))))</f>
        <v/>
      </c>
      <c r="U2">
        <f>IF(U1="",0,IF(OR(U1&lt;'ข้อมูลโรงเรียน'!$Z$15,U1&gt;'ข้อมูลโรงเรียน'!$Z$16),4,IF(WEEKDAY(U1,2)&gt;5,2,IF(COUNTIF('ข้อมูลโรงเรียน'!$Z$22:$Z$61,U1)&gt;0,3,1))))</f>
        <v/>
      </c>
      <c r="V2">
        <f>IF(V1="",0,IF(OR(V1&lt;'ข้อมูลโรงเรียน'!$Z$15,V1&gt;'ข้อมูลโรงเรียน'!$Z$16),4,IF(WEEKDAY(V1,2)&gt;5,2,IF(COUNTIF('ข้อมูลโรงเรียน'!$Z$22:$Z$61,V1)&gt;0,3,1))))</f>
        <v/>
      </c>
      <c r="W2">
        <f>IF(W1="",0,IF(OR(W1&lt;'ข้อมูลโรงเรียน'!$Z$15,W1&gt;'ข้อมูลโรงเรียน'!$Z$16),4,IF(WEEKDAY(W1,2)&gt;5,2,IF(COUNTIF('ข้อมูลโรงเรียน'!$Z$22:$Z$61,W1)&gt;0,3,1))))</f>
        <v/>
      </c>
      <c r="X2">
        <f>IF(X1="",0,IF(OR(X1&lt;'ข้อมูลโรงเรียน'!$Z$15,X1&gt;'ข้อมูลโรงเรียน'!$Z$16),4,IF(WEEKDAY(X1,2)&gt;5,2,IF(COUNTIF('ข้อมูลโรงเรียน'!$Z$22:$Z$61,X1)&gt;0,3,1))))</f>
        <v/>
      </c>
      <c r="Y2">
        <f>IF(Y1="",0,IF(OR(Y1&lt;'ข้อมูลโรงเรียน'!$Z$15,Y1&gt;'ข้อมูลโรงเรียน'!$Z$16),4,IF(WEEKDAY(Y1,2)&gt;5,2,IF(COUNTIF('ข้อมูลโรงเรียน'!$Z$22:$Z$61,Y1)&gt;0,3,1))))</f>
        <v/>
      </c>
      <c r="Z2">
        <f>IF(Z1="",0,IF(OR(Z1&lt;'ข้อมูลโรงเรียน'!$Z$15,Z1&gt;'ข้อมูลโรงเรียน'!$Z$16),4,IF(WEEKDAY(Z1,2)&gt;5,2,IF(COUNTIF('ข้อมูลโรงเรียน'!$Z$22:$Z$61,Z1)&gt;0,3,1))))</f>
        <v/>
      </c>
      <c r="AA2">
        <f>IF(AA1="",0,IF(OR(AA1&lt;'ข้อมูลโรงเรียน'!$Z$15,AA1&gt;'ข้อมูลโรงเรียน'!$Z$16),4,IF(WEEKDAY(AA1,2)&gt;5,2,IF(COUNTIF('ข้อมูลโรงเรียน'!$Z$22:$Z$61,AA1)&gt;0,3,1))))</f>
        <v/>
      </c>
      <c r="AB2">
        <f>IF(AB1="",0,IF(OR(AB1&lt;'ข้อมูลโรงเรียน'!$Z$15,AB1&gt;'ข้อมูลโรงเรียน'!$Z$16),4,IF(WEEKDAY(AB1,2)&gt;5,2,IF(COUNTIF('ข้อมูลโรงเรียน'!$Z$22:$Z$61,AB1)&gt;0,3,1))))</f>
        <v/>
      </c>
      <c r="AC2">
        <f>IF(AC1="",0,IF(OR(AC1&lt;'ข้อมูลโรงเรียน'!$Z$15,AC1&gt;'ข้อมูลโรงเรียน'!$Z$16),4,IF(WEEKDAY(AC1,2)&gt;5,2,IF(COUNTIF('ข้อมูลโรงเรียน'!$Z$22:$Z$61,AC1)&gt;0,3,1))))</f>
        <v/>
      </c>
      <c r="AD2">
        <f>IF(AD1="",0,IF(OR(AD1&lt;'ข้อมูลโรงเรียน'!$Z$15,AD1&gt;'ข้อมูลโรงเรียน'!$Z$16),4,IF(WEEKDAY(AD1,2)&gt;5,2,IF(COUNTIF('ข้อมูลโรงเรียน'!$Z$22:$Z$61,AD1)&gt;0,3,1))))</f>
        <v/>
      </c>
      <c r="AE2">
        <f>IF(AE1="",0,IF(OR(AE1&lt;'ข้อมูลโรงเรียน'!$Z$15,AE1&gt;'ข้อมูลโรงเรียน'!$Z$16),4,IF(WEEKDAY(AE1,2)&gt;5,2,IF(COUNTIF('ข้อมูลโรงเรียน'!$Z$22:$Z$61,AE1)&gt;0,3,1))))</f>
        <v/>
      </c>
      <c r="AF2">
        <f>IF(AF1="",0,IF(OR(AF1&lt;'ข้อมูลโรงเรียน'!$Z$15,AF1&gt;'ข้อมูลโรงเรียน'!$Z$16),4,IF(WEEKDAY(AF1,2)&gt;5,2,IF(COUNTIF('ข้อมูลโรงเรียน'!$Z$22:$Z$61,AF1)&gt;0,3,1))))</f>
        <v/>
      </c>
      <c r="AG2">
        <f>IF(AG1="",0,IF(OR(AG1&lt;'ข้อมูลโรงเรียน'!$Z$15,AG1&gt;'ข้อมูลโรงเรียน'!$Z$16),4,IF(WEEKDAY(AG1,2)&gt;5,2,IF(COUNTIF('ข้อมูลโรงเรียน'!$Z$22:$Z$61,AG1)&gt;0,3,1))))</f>
        <v/>
      </c>
      <c r="AH2">
        <f>IF(AH1="",0,IF(OR(AH1&lt;'ข้อมูลโรงเรียน'!$Z$15,AH1&gt;'ข้อมูลโรงเรียน'!$Z$16),4,IF(WEEKDAY(AH1,2)&gt;5,2,IF(COUNTIF('ข้อมูลโรงเรียน'!$Z$22:$Z$61,AH1)&gt;0,3,1))))</f>
        <v/>
      </c>
      <c r="AI2" t="inlineStr">
        <is>
          <t>s</t>
        </is>
      </c>
      <c r="AJ2" t="inlineStr">
        <is>
          <t>s</t>
        </is>
      </c>
      <c r="AK2" t="inlineStr">
        <is>
          <t>s</t>
        </is>
      </c>
      <c r="AL2">
        <f>IF(AL1="",0,IF(OR(AL1&lt;'ข้อมูลโรงเรียน'!$Z$15,AL1&gt;'ข้อมูลโรงเรียน'!$Z$16),4,IF(WEEKDAY(AL1,2)&gt;5,2,IF(COUNTIF('ข้อมูลโรงเรียน'!$Z$22:$Z$61,AL1)&gt;0,3,1))))</f>
        <v/>
      </c>
      <c r="AM2">
        <f>IF(AM1="",0,IF(OR(AM1&lt;'ข้อมูลโรงเรียน'!$Z$15,AM1&gt;'ข้อมูลโรงเรียน'!$Z$16),4,IF(WEEKDAY(AM1,2)&gt;5,2,IF(COUNTIF('ข้อมูลโรงเรียน'!$Z$22:$Z$61,AM1)&gt;0,3,1))))</f>
        <v/>
      </c>
      <c r="AN2">
        <f>IF(AN1="",0,IF(OR(AN1&lt;'ข้อมูลโรงเรียน'!$Z$15,AN1&gt;'ข้อมูลโรงเรียน'!$Z$16),4,IF(WEEKDAY(AN1,2)&gt;5,2,IF(COUNTIF('ข้อมูลโรงเรียน'!$Z$22:$Z$61,AN1)&gt;0,3,1))))</f>
        <v/>
      </c>
      <c r="AO2">
        <f>IF(AO1="",0,IF(OR(AO1&lt;'ข้อมูลโรงเรียน'!$Z$15,AO1&gt;'ข้อมูลโรงเรียน'!$Z$16),4,IF(WEEKDAY(AO1,2)&gt;5,2,IF(COUNTIF('ข้อมูลโรงเรียน'!$Z$22:$Z$61,AO1)&gt;0,3,1))))</f>
        <v/>
      </c>
      <c r="AP2">
        <f>IF(AP1="",0,IF(OR(AP1&lt;'ข้อมูลโรงเรียน'!$Z$15,AP1&gt;'ข้อมูลโรงเรียน'!$Z$16),4,IF(WEEKDAY(AP1,2)&gt;5,2,IF(COUNTIF('ข้อมูลโรงเรียน'!$Z$22:$Z$61,AP1)&gt;0,3,1))))</f>
        <v/>
      </c>
      <c r="AQ2">
        <f>IF(AQ1="",0,IF(OR(AQ1&lt;'ข้อมูลโรงเรียน'!$Z$15,AQ1&gt;'ข้อมูลโรงเรียน'!$Z$16),4,IF(WEEKDAY(AQ1,2)&gt;5,2,IF(COUNTIF('ข้อมูลโรงเรียน'!$Z$22:$Z$61,AQ1)&gt;0,3,1))))</f>
        <v/>
      </c>
      <c r="AR2">
        <f>IF(AR1="",0,IF(OR(AR1&lt;'ข้อมูลโรงเรียน'!$Z$15,AR1&gt;'ข้อมูลโรงเรียน'!$Z$16),4,IF(WEEKDAY(AR1,2)&gt;5,2,IF(COUNTIF('ข้อมูลโรงเรียน'!$Z$22:$Z$61,AR1)&gt;0,3,1))))</f>
        <v/>
      </c>
      <c r="AS2">
        <f>IF(AS1="",0,IF(OR(AS1&lt;'ข้อมูลโรงเรียน'!$Z$15,AS1&gt;'ข้อมูลโรงเรียน'!$Z$16),4,IF(WEEKDAY(AS1,2)&gt;5,2,IF(COUNTIF('ข้อมูลโรงเรียน'!$Z$22:$Z$61,AS1)&gt;0,3,1))))</f>
        <v/>
      </c>
      <c r="AT2">
        <f>IF(AT1="",0,IF(OR(AT1&lt;'ข้อมูลโรงเรียน'!$Z$15,AT1&gt;'ข้อมูลโรงเรียน'!$Z$16),4,IF(WEEKDAY(AT1,2)&gt;5,2,IF(COUNTIF('ข้อมูลโรงเรียน'!$Z$22:$Z$61,AT1)&gt;0,3,1))))</f>
        <v/>
      </c>
      <c r="AU2">
        <f>IF(AU1="",0,IF(OR(AU1&lt;'ข้อมูลโรงเรียน'!$Z$15,AU1&gt;'ข้อมูลโรงเรียน'!$Z$16),4,IF(WEEKDAY(AU1,2)&gt;5,2,IF(COUNTIF('ข้อมูลโรงเรียน'!$Z$22:$Z$61,AU1)&gt;0,3,1))))</f>
        <v/>
      </c>
      <c r="AV2">
        <f>IF(AV1="",0,IF(OR(AV1&lt;'ข้อมูลโรงเรียน'!$Z$15,AV1&gt;'ข้อมูลโรงเรียน'!$Z$16),4,IF(WEEKDAY(AV1,2)&gt;5,2,IF(COUNTIF('ข้อมูลโรงเรียน'!$Z$22:$Z$61,AV1)&gt;0,3,1))))</f>
        <v/>
      </c>
      <c r="AW2">
        <f>IF(AW1="",0,IF(OR(AW1&lt;'ข้อมูลโรงเรียน'!$Z$15,AW1&gt;'ข้อมูลโรงเรียน'!$Z$16),4,IF(WEEKDAY(AW1,2)&gt;5,2,IF(COUNTIF('ข้อมูลโรงเรียน'!$Z$22:$Z$61,AW1)&gt;0,3,1))))</f>
        <v/>
      </c>
      <c r="AX2">
        <f>IF(AX1="",0,IF(OR(AX1&lt;'ข้อมูลโรงเรียน'!$Z$15,AX1&gt;'ข้อมูลโรงเรียน'!$Z$16),4,IF(WEEKDAY(AX1,2)&gt;5,2,IF(COUNTIF('ข้อมูลโรงเรียน'!$Z$22:$Z$61,AX1)&gt;0,3,1))))</f>
        <v/>
      </c>
      <c r="AY2">
        <f>IF(AY1="",0,IF(OR(AY1&lt;'ข้อมูลโรงเรียน'!$Z$15,AY1&gt;'ข้อมูลโรงเรียน'!$Z$16),4,IF(WEEKDAY(AY1,2)&gt;5,2,IF(COUNTIF('ข้อมูลโรงเรียน'!$Z$22:$Z$61,AY1)&gt;0,3,1))))</f>
        <v/>
      </c>
      <c r="AZ2">
        <f>IF(AZ1="",0,IF(OR(AZ1&lt;'ข้อมูลโรงเรียน'!$Z$15,AZ1&gt;'ข้อมูลโรงเรียน'!$Z$16),4,IF(WEEKDAY(AZ1,2)&gt;5,2,IF(COUNTIF('ข้อมูลโรงเรียน'!$Z$22:$Z$61,AZ1)&gt;0,3,1))))</f>
        <v/>
      </c>
      <c r="BA2">
        <f>IF(BA1="",0,IF(OR(BA1&lt;'ข้อมูลโรงเรียน'!$Z$15,BA1&gt;'ข้อมูลโรงเรียน'!$Z$16),4,IF(WEEKDAY(BA1,2)&gt;5,2,IF(COUNTIF('ข้อมูลโรงเรียน'!$Z$22:$Z$61,BA1)&gt;0,3,1))))</f>
        <v/>
      </c>
      <c r="BB2">
        <f>IF(BB1="",0,IF(OR(BB1&lt;'ข้อมูลโรงเรียน'!$Z$15,BB1&gt;'ข้อมูลโรงเรียน'!$Z$16),4,IF(WEEKDAY(BB1,2)&gt;5,2,IF(COUNTIF('ข้อมูลโรงเรียน'!$Z$22:$Z$61,BB1)&gt;0,3,1))))</f>
        <v/>
      </c>
      <c r="BC2">
        <f>IF(BC1="",0,IF(OR(BC1&lt;'ข้อมูลโรงเรียน'!$Z$15,BC1&gt;'ข้อมูลโรงเรียน'!$Z$16),4,IF(WEEKDAY(BC1,2)&gt;5,2,IF(COUNTIF('ข้อมูลโรงเรียน'!$Z$22:$Z$61,BC1)&gt;0,3,1))))</f>
        <v/>
      </c>
      <c r="BD2">
        <f>IF(BD1="",0,IF(OR(BD1&lt;'ข้อมูลโรงเรียน'!$Z$15,BD1&gt;'ข้อมูลโรงเรียน'!$Z$16),4,IF(WEEKDAY(BD1,2)&gt;5,2,IF(COUNTIF('ข้อมูลโรงเรียน'!$Z$22:$Z$61,BD1)&gt;0,3,1))))</f>
        <v/>
      </c>
      <c r="BE2">
        <f>IF(BE1="",0,IF(OR(BE1&lt;'ข้อมูลโรงเรียน'!$Z$15,BE1&gt;'ข้อมูลโรงเรียน'!$Z$16),4,IF(WEEKDAY(BE1,2)&gt;5,2,IF(COUNTIF('ข้อมูลโรงเรียน'!$Z$22:$Z$61,BE1)&gt;0,3,1))))</f>
        <v/>
      </c>
      <c r="BF2">
        <f>IF(BF1="",0,IF(OR(BF1&lt;'ข้อมูลโรงเรียน'!$Z$15,BF1&gt;'ข้อมูลโรงเรียน'!$Z$16),4,IF(WEEKDAY(BF1,2)&gt;5,2,IF(COUNTIF('ข้อมูลโรงเรียน'!$Z$22:$Z$61,BF1)&gt;0,3,1))))</f>
        <v/>
      </c>
      <c r="BG2">
        <f>IF(BG1="",0,IF(OR(BG1&lt;'ข้อมูลโรงเรียน'!$Z$15,BG1&gt;'ข้อมูลโรงเรียน'!$Z$16),4,IF(WEEKDAY(BG1,2)&gt;5,2,IF(COUNTIF('ข้อมูลโรงเรียน'!$Z$22:$Z$61,BG1)&gt;0,3,1))))</f>
        <v/>
      </c>
      <c r="BH2">
        <f>IF(BH1="",0,IF(OR(BH1&lt;'ข้อมูลโรงเรียน'!$Z$15,BH1&gt;'ข้อมูลโรงเรียน'!$Z$16),4,IF(WEEKDAY(BH1,2)&gt;5,2,IF(COUNTIF('ข้อมูลโรงเรียน'!$Z$22:$Z$61,BH1)&gt;0,3,1))))</f>
        <v/>
      </c>
      <c r="BI2">
        <f>IF(BI1="",0,IF(OR(BI1&lt;'ข้อมูลโรงเรียน'!$Z$15,BI1&gt;'ข้อมูลโรงเรียน'!$Z$16),4,IF(WEEKDAY(BI1,2)&gt;5,2,IF(COUNTIF('ข้อมูลโรงเรียน'!$Z$22:$Z$61,BI1)&gt;0,3,1))))</f>
        <v/>
      </c>
      <c r="BJ2">
        <f>IF(BJ1="",0,IF(OR(BJ1&lt;'ข้อมูลโรงเรียน'!$Z$15,BJ1&gt;'ข้อมูลโรงเรียน'!$Z$16),4,IF(WEEKDAY(BJ1,2)&gt;5,2,IF(COUNTIF('ข้อมูลโรงเรียน'!$Z$22:$Z$61,BJ1)&gt;0,3,1))))</f>
        <v/>
      </c>
      <c r="BK2">
        <f>IF(BK1="",0,IF(OR(BK1&lt;'ข้อมูลโรงเรียน'!$Z$15,BK1&gt;'ข้อมูลโรงเรียน'!$Z$16),4,IF(WEEKDAY(BK1,2)&gt;5,2,IF(COUNTIF('ข้อมูลโรงเรียน'!$Z$22:$Z$61,BK1)&gt;0,3,1))))</f>
        <v/>
      </c>
      <c r="BL2">
        <f>IF(BL1="",0,IF(OR(BL1&lt;'ข้อมูลโรงเรียน'!$Z$15,BL1&gt;'ข้อมูลโรงเรียน'!$Z$16),4,IF(WEEKDAY(BL1,2)&gt;5,2,IF(COUNTIF('ข้อมูลโรงเรียน'!$Z$22:$Z$61,BL1)&gt;0,3,1))))</f>
        <v/>
      </c>
      <c r="BM2">
        <f>IF(BM1="",0,IF(OR(BM1&lt;'ข้อมูลโรงเรียน'!$Z$15,BM1&gt;'ข้อมูลโรงเรียน'!$Z$16),4,IF(WEEKDAY(BM1,2)&gt;5,2,IF(COUNTIF('ข้อมูลโรงเรียน'!$Z$22:$Z$61,BM1)&gt;0,3,1))))</f>
        <v/>
      </c>
      <c r="BN2">
        <f>IF(BN1="",0,IF(OR(BN1&lt;'ข้อมูลโรงเรียน'!$Z$15,BN1&gt;'ข้อมูลโรงเรียน'!$Z$16),4,IF(WEEKDAY(BN1,2)&gt;5,2,IF(COUNTIF('ข้อมูลโรงเรียน'!$Z$22:$Z$61,BN1)&gt;0,3,1))))</f>
        <v/>
      </c>
      <c r="BO2">
        <f>IF(BO1="",0,IF(OR(BO1&lt;'ข้อมูลโรงเรียน'!$Z$15,BO1&gt;'ข้อมูลโรงเรียน'!$Z$16),4,IF(WEEKDAY(BO1,2)&gt;5,2,IF(COUNTIF('ข้อมูลโรงเรียน'!$Z$22:$Z$61,BO1)&gt;0,3,1))))</f>
        <v/>
      </c>
      <c r="BP2">
        <f>IF(BP1="",0,IF(OR(BP1&lt;'ข้อมูลโรงเรียน'!$Z$15,BP1&gt;'ข้อมูลโรงเรียน'!$Z$16),4,IF(WEEKDAY(BP1,2)&gt;5,2,IF(COUNTIF('ข้อมูลโรงเรียน'!$Z$22:$Z$61,BP1)&gt;0,3,1))))</f>
        <v/>
      </c>
      <c r="BQ2" t="inlineStr">
        <is>
          <t>s</t>
        </is>
      </c>
      <c r="BR2" t="inlineStr">
        <is>
          <t>s</t>
        </is>
      </c>
      <c r="BS2" t="inlineStr">
        <is>
          <t>s</t>
        </is>
      </c>
      <c r="BT2">
        <f>IF(BT1="",0,IF(OR(BT1&lt;'ข้อมูลโรงเรียน'!$Z$15,BT1&gt;'ข้อมูลโรงเรียน'!$Z$16),4,IF(WEEKDAY(BT1,2)&gt;5,2,IF(COUNTIF('ข้อมูลโรงเรียน'!$Z$22:$Z$61,BT1)&gt;0,3,1))))</f>
        <v/>
      </c>
      <c r="BU2">
        <f>IF(BU1="",0,IF(OR(BU1&lt;'ข้อมูลโรงเรียน'!$Z$15,BU1&gt;'ข้อมูลโรงเรียน'!$Z$16),4,IF(WEEKDAY(BU1,2)&gt;5,2,IF(COUNTIF('ข้อมูลโรงเรียน'!$Z$22:$Z$61,BU1)&gt;0,3,1))))</f>
        <v/>
      </c>
      <c r="BV2">
        <f>IF(BV1="",0,IF(OR(BV1&lt;'ข้อมูลโรงเรียน'!$Z$15,BV1&gt;'ข้อมูลโรงเรียน'!$Z$16),4,IF(WEEKDAY(BV1,2)&gt;5,2,IF(COUNTIF('ข้อมูลโรงเรียน'!$Z$22:$Z$61,BV1)&gt;0,3,1))))</f>
        <v/>
      </c>
      <c r="BW2">
        <f>IF(BW1="",0,IF(OR(BW1&lt;'ข้อมูลโรงเรียน'!$Z$15,BW1&gt;'ข้อมูลโรงเรียน'!$Z$16),4,IF(WEEKDAY(BW1,2)&gt;5,2,IF(COUNTIF('ข้อมูลโรงเรียน'!$Z$22:$Z$61,BW1)&gt;0,3,1))))</f>
        <v/>
      </c>
      <c r="BX2">
        <f>IF(BX1="",0,IF(OR(BX1&lt;'ข้อมูลโรงเรียน'!$Z$15,BX1&gt;'ข้อมูลโรงเรียน'!$Z$16),4,IF(WEEKDAY(BX1,2)&gt;5,2,IF(COUNTIF('ข้อมูลโรงเรียน'!$Z$22:$Z$61,BX1)&gt;0,3,1))))</f>
        <v/>
      </c>
      <c r="BY2">
        <f>IF(BY1="",0,IF(OR(BY1&lt;'ข้อมูลโรงเรียน'!$Z$15,BY1&gt;'ข้อมูลโรงเรียน'!$Z$16),4,IF(WEEKDAY(BY1,2)&gt;5,2,IF(COUNTIF('ข้อมูลโรงเรียน'!$Z$22:$Z$61,BY1)&gt;0,3,1))))</f>
        <v/>
      </c>
      <c r="BZ2">
        <f>IF(BZ1="",0,IF(OR(BZ1&lt;'ข้อมูลโรงเรียน'!$Z$15,BZ1&gt;'ข้อมูลโรงเรียน'!$Z$16),4,IF(WEEKDAY(BZ1,2)&gt;5,2,IF(COUNTIF('ข้อมูลโรงเรียน'!$Z$22:$Z$61,BZ1)&gt;0,3,1))))</f>
        <v/>
      </c>
      <c r="CA2">
        <f>IF(CA1="",0,IF(OR(CA1&lt;'ข้อมูลโรงเรียน'!$Z$15,CA1&gt;'ข้อมูลโรงเรียน'!$Z$16),4,IF(WEEKDAY(CA1,2)&gt;5,2,IF(COUNTIF('ข้อมูลโรงเรียน'!$Z$22:$Z$61,CA1)&gt;0,3,1))))</f>
        <v/>
      </c>
      <c r="CB2">
        <f>IF(CB1="",0,IF(OR(CB1&lt;'ข้อมูลโรงเรียน'!$Z$15,CB1&gt;'ข้อมูลโรงเรียน'!$Z$16),4,IF(WEEKDAY(CB1,2)&gt;5,2,IF(COUNTIF('ข้อมูลโรงเรียน'!$Z$22:$Z$61,CB1)&gt;0,3,1))))</f>
        <v/>
      </c>
      <c r="CC2">
        <f>IF(CC1="",0,IF(OR(CC1&lt;'ข้อมูลโรงเรียน'!$Z$15,CC1&gt;'ข้อมูลโรงเรียน'!$Z$16),4,IF(WEEKDAY(CC1,2)&gt;5,2,IF(COUNTIF('ข้อมูลโรงเรียน'!$Z$22:$Z$61,CC1)&gt;0,3,1))))</f>
        <v/>
      </c>
      <c r="CD2">
        <f>IF(CD1="",0,IF(OR(CD1&lt;'ข้อมูลโรงเรียน'!$Z$15,CD1&gt;'ข้อมูลโรงเรียน'!$Z$16),4,IF(WEEKDAY(CD1,2)&gt;5,2,IF(COUNTIF('ข้อมูลโรงเรียน'!$Z$22:$Z$61,CD1)&gt;0,3,1))))</f>
        <v/>
      </c>
      <c r="CE2">
        <f>IF(CE1="",0,IF(OR(CE1&lt;'ข้อมูลโรงเรียน'!$Z$15,CE1&gt;'ข้อมูลโรงเรียน'!$Z$16),4,IF(WEEKDAY(CE1,2)&gt;5,2,IF(COUNTIF('ข้อมูลโรงเรียน'!$Z$22:$Z$61,CE1)&gt;0,3,1))))</f>
        <v/>
      </c>
      <c r="CF2">
        <f>IF(CF1="",0,IF(OR(CF1&lt;'ข้อมูลโรงเรียน'!$Z$15,CF1&gt;'ข้อมูลโรงเรียน'!$Z$16),4,IF(WEEKDAY(CF1,2)&gt;5,2,IF(COUNTIF('ข้อมูลโรงเรียน'!$Z$22:$Z$61,CF1)&gt;0,3,1))))</f>
        <v/>
      </c>
      <c r="CG2">
        <f>IF(CG1="",0,IF(OR(CG1&lt;'ข้อมูลโรงเรียน'!$Z$15,CG1&gt;'ข้อมูลโรงเรียน'!$Z$16),4,IF(WEEKDAY(CG1,2)&gt;5,2,IF(COUNTIF('ข้อมูลโรงเรียน'!$Z$22:$Z$61,CG1)&gt;0,3,1))))</f>
        <v/>
      </c>
      <c r="CH2">
        <f>IF(CH1="",0,IF(OR(CH1&lt;'ข้อมูลโรงเรียน'!$Z$15,CH1&gt;'ข้อมูลโรงเรียน'!$Z$16),4,IF(WEEKDAY(CH1,2)&gt;5,2,IF(COUNTIF('ข้อมูลโรงเรียน'!$Z$22:$Z$61,CH1)&gt;0,3,1))))</f>
        <v/>
      </c>
      <c r="CI2">
        <f>IF(CI1="",0,IF(OR(CI1&lt;'ข้อมูลโรงเรียน'!$Z$15,CI1&gt;'ข้อมูลโรงเรียน'!$Z$16),4,IF(WEEKDAY(CI1,2)&gt;5,2,IF(COUNTIF('ข้อมูลโรงเรียน'!$Z$22:$Z$61,CI1)&gt;0,3,1))))</f>
        <v/>
      </c>
      <c r="CJ2">
        <f>IF(CJ1="",0,IF(OR(CJ1&lt;'ข้อมูลโรงเรียน'!$Z$15,CJ1&gt;'ข้อมูลโรงเรียน'!$Z$16),4,IF(WEEKDAY(CJ1,2)&gt;5,2,IF(COUNTIF('ข้อมูลโรงเรียน'!$Z$22:$Z$61,CJ1)&gt;0,3,1))))</f>
        <v/>
      </c>
      <c r="CK2">
        <f>IF(CK1="",0,IF(OR(CK1&lt;'ข้อมูลโรงเรียน'!$Z$15,CK1&gt;'ข้อมูลโรงเรียน'!$Z$16),4,IF(WEEKDAY(CK1,2)&gt;5,2,IF(COUNTIF('ข้อมูลโรงเรียน'!$Z$22:$Z$61,CK1)&gt;0,3,1))))</f>
        <v/>
      </c>
      <c r="CL2">
        <f>IF(CL1="",0,IF(OR(CL1&lt;'ข้อมูลโรงเรียน'!$Z$15,CL1&gt;'ข้อมูลโรงเรียน'!$Z$16),4,IF(WEEKDAY(CL1,2)&gt;5,2,IF(COUNTIF('ข้อมูลโรงเรียน'!$Z$22:$Z$61,CL1)&gt;0,3,1))))</f>
        <v/>
      </c>
      <c r="CM2">
        <f>IF(CM1="",0,IF(OR(CM1&lt;'ข้อมูลโรงเรียน'!$Z$15,CM1&gt;'ข้อมูลโรงเรียน'!$Z$16),4,IF(WEEKDAY(CM1,2)&gt;5,2,IF(COUNTIF('ข้อมูลโรงเรียน'!$Z$22:$Z$61,CM1)&gt;0,3,1))))</f>
        <v/>
      </c>
      <c r="CN2">
        <f>IF(CN1="",0,IF(OR(CN1&lt;'ข้อมูลโรงเรียน'!$Z$15,CN1&gt;'ข้อมูลโรงเรียน'!$Z$16),4,IF(WEEKDAY(CN1,2)&gt;5,2,IF(COUNTIF('ข้อมูลโรงเรียน'!$Z$22:$Z$61,CN1)&gt;0,3,1))))</f>
        <v/>
      </c>
      <c r="CO2">
        <f>IF(CO1="",0,IF(OR(CO1&lt;'ข้อมูลโรงเรียน'!$Z$15,CO1&gt;'ข้อมูลโรงเรียน'!$Z$16),4,IF(WEEKDAY(CO1,2)&gt;5,2,IF(COUNTIF('ข้อมูลโรงเรียน'!$Z$22:$Z$61,CO1)&gt;0,3,1))))</f>
        <v/>
      </c>
      <c r="CP2">
        <f>IF(CP1="",0,IF(OR(CP1&lt;'ข้อมูลโรงเรียน'!$Z$15,CP1&gt;'ข้อมูลโรงเรียน'!$Z$16),4,IF(WEEKDAY(CP1,2)&gt;5,2,IF(COUNTIF('ข้อมูลโรงเรียน'!$Z$22:$Z$61,CP1)&gt;0,3,1))))</f>
        <v/>
      </c>
      <c r="CQ2">
        <f>IF(CQ1="",0,IF(OR(CQ1&lt;'ข้อมูลโรงเรียน'!$Z$15,CQ1&gt;'ข้อมูลโรงเรียน'!$Z$16),4,IF(WEEKDAY(CQ1,2)&gt;5,2,IF(COUNTIF('ข้อมูลโรงเรียน'!$Z$22:$Z$61,CQ1)&gt;0,3,1))))</f>
        <v/>
      </c>
      <c r="CR2">
        <f>IF(CR1="",0,IF(OR(CR1&lt;'ข้อมูลโรงเรียน'!$Z$15,CR1&gt;'ข้อมูลโรงเรียน'!$Z$16),4,IF(WEEKDAY(CR1,2)&gt;5,2,IF(COUNTIF('ข้อมูลโรงเรียน'!$Z$22:$Z$61,CR1)&gt;0,3,1))))</f>
        <v/>
      </c>
      <c r="CS2">
        <f>IF(CS1="",0,IF(OR(CS1&lt;'ข้อมูลโรงเรียน'!$Z$15,CS1&gt;'ข้อมูลโรงเรียน'!$Z$16),4,IF(WEEKDAY(CS1,2)&gt;5,2,IF(COUNTIF('ข้อมูลโรงเรียน'!$Z$22:$Z$61,CS1)&gt;0,3,1))))</f>
        <v/>
      </c>
      <c r="CT2">
        <f>IF(CT1="",0,IF(OR(CT1&lt;'ข้อมูลโรงเรียน'!$Z$15,CT1&gt;'ข้อมูลโรงเรียน'!$Z$16),4,IF(WEEKDAY(CT1,2)&gt;5,2,IF(COUNTIF('ข้อมูลโรงเรียน'!$Z$22:$Z$61,CT1)&gt;0,3,1))))</f>
        <v/>
      </c>
      <c r="CU2">
        <f>IF(CU1="",0,IF(OR(CU1&lt;'ข้อมูลโรงเรียน'!$Z$15,CU1&gt;'ข้อมูลโรงเรียน'!$Z$16),4,IF(WEEKDAY(CU1,2)&gt;5,2,IF(COUNTIF('ข้อมูลโรงเรียน'!$Z$22:$Z$61,CU1)&gt;0,3,1))))</f>
        <v/>
      </c>
      <c r="CV2">
        <f>IF(CV1="",0,IF(OR(CV1&lt;'ข้อมูลโรงเรียน'!$Z$15,CV1&gt;'ข้อมูลโรงเรียน'!$Z$16),4,IF(WEEKDAY(CV1,2)&gt;5,2,IF(COUNTIF('ข้อมูลโรงเรียน'!$Z$22:$Z$61,CV1)&gt;0,3,1))))</f>
        <v/>
      </c>
      <c r="CW2">
        <f>IF(CW1="",0,IF(OR(CW1&lt;'ข้อมูลโรงเรียน'!$Z$15,CW1&gt;'ข้อมูลโรงเรียน'!$Z$16),4,IF(WEEKDAY(CW1,2)&gt;5,2,IF(COUNTIF('ข้อมูลโรงเรียน'!$Z$22:$Z$61,CW1)&gt;0,3,1))))</f>
        <v/>
      </c>
      <c r="CX2">
        <f>IF(CX1="",0,IF(OR(CX1&lt;'ข้อมูลโรงเรียน'!$Z$15,CX1&gt;'ข้อมูลโรงเรียน'!$Z$16),4,IF(WEEKDAY(CX1,2)&gt;5,2,IF(COUNTIF('ข้อมูลโรงเรียน'!$Z$22:$Z$61,CX1)&gt;0,3,1))))</f>
        <v/>
      </c>
      <c r="CY2" t="inlineStr">
        <is>
          <t>s</t>
        </is>
      </c>
      <c r="CZ2" t="inlineStr">
        <is>
          <t>s</t>
        </is>
      </c>
      <c r="DA2" t="inlineStr">
        <is>
          <t>s</t>
        </is>
      </c>
      <c r="DB2">
        <f>IF(DB1="",0,IF(OR(DB1&lt;'ข้อมูลโรงเรียน'!$Z$15,DB1&gt;'ข้อมูลโรงเรียน'!$Z$16),4,IF(WEEKDAY(DB1,2)&gt;5,2,IF(COUNTIF('ข้อมูลโรงเรียน'!$Z$22:$Z$61,DB1)&gt;0,3,1))))</f>
        <v/>
      </c>
      <c r="DC2">
        <f>IF(DC1="",0,IF(OR(DC1&lt;'ข้อมูลโรงเรียน'!$Z$15,DC1&gt;'ข้อมูลโรงเรียน'!$Z$16),4,IF(WEEKDAY(DC1,2)&gt;5,2,IF(COUNTIF('ข้อมูลโรงเรียน'!$Z$22:$Z$61,DC1)&gt;0,3,1))))</f>
        <v/>
      </c>
      <c r="DD2">
        <f>IF(DD1="",0,IF(OR(DD1&lt;'ข้อมูลโรงเรียน'!$Z$15,DD1&gt;'ข้อมูลโรงเรียน'!$Z$16),4,IF(WEEKDAY(DD1,2)&gt;5,2,IF(COUNTIF('ข้อมูลโรงเรียน'!$Z$22:$Z$61,DD1)&gt;0,3,1))))</f>
        <v/>
      </c>
      <c r="DE2">
        <f>IF(DE1="",0,IF(OR(DE1&lt;'ข้อมูลโรงเรียน'!$Z$15,DE1&gt;'ข้อมูลโรงเรียน'!$Z$16),4,IF(WEEKDAY(DE1,2)&gt;5,2,IF(COUNTIF('ข้อมูลโรงเรียน'!$Z$22:$Z$61,DE1)&gt;0,3,1))))</f>
        <v/>
      </c>
      <c r="DF2">
        <f>IF(DF1="",0,IF(OR(DF1&lt;'ข้อมูลโรงเรียน'!$Z$15,DF1&gt;'ข้อมูลโรงเรียน'!$Z$16),4,IF(WEEKDAY(DF1,2)&gt;5,2,IF(COUNTIF('ข้อมูลโรงเรียน'!$Z$22:$Z$61,DF1)&gt;0,3,1))))</f>
        <v/>
      </c>
      <c r="DG2">
        <f>IF(DG1="",0,IF(OR(DG1&lt;'ข้อมูลโรงเรียน'!$Z$15,DG1&gt;'ข้อมูลโรงเรียน'!$Z$16),4,IF(WEEKDAY(DG1,2)&gt;5,2,IF(COUNTIF('ข้อมูลโรงเรียน'!$Z$22:$Z$61,DG1)&gt;0,3,1))))</f>
        <v/>
      </c>
      <c r="DH2">
        <f>IF(DH1="",0,IF(OR(DH1&lt;'ข้อมูลโรงเรียน'!$Z$15,DH1&gt;'ข้อมูลโรงเรียน'!$Z$16),4,IF(WEEKDAY(DH1,2)&gt;5,2,IF(COUNTIF('ข้อมูลโรงเรียน'!$Z$22:$Z$61,DH1)&gt;0,3,1))))</f>
        <v/>
      </c>
      <c r="DI2">
        <f>IF(DI1="",0,IF(OR(DI1&lt;'ข้อมูลโรงเรียน'!$Z$15,DI1&gt;'ข้อมูลโรงเรียน'!$Z$16),4,IF(WEEKDAY(DI1,2)&gt;5,2,IF(COUNTIF('ข้อมูลโรงเรียน'!$Z$22:$Z$61,DI1)&gt;0,3,1))))</f>
        <v/>
      </c>
      <c r="DJ2">
        <f>IF(DJ1="",0,IF(OR(DJ1&lt;'ข้อมูลโรงเรียน'!$Z$15,DJ1&gt;'ข้อมูลโรงเรียน'!$Z$16),4,IF(WEEKDAY(DJ1,2)&gt;5,2,IF(COUNTIF('ข้อมูลโรงเรียน'!$Z$22:$Z$61,DJ1)&gt;0,3,1))))</f>
        <v/>
      </c>
      <c r="DK2">
        <f>IF(DK1="",0,IF(OR(DK1&lt;'ข้อมูลโรงเรียน'!$Z$15,DK1&gt;'ข้อมูลโรงเรียน'!$Z$16),4,IF(WEEKDAY(DK1,2)&gt;5,2,IF(COUNTIF('ข้อมูลโรงเรียน'!$Z$22:$Z$61,DK1)&gt;0,3,1))))</f>
        <v/>
      </c>
      <c r="DL2">
        <f>IF(DL1="",0,IF(OR(DL1&lt;'ข้อมูลโรงเรียน'!$Z$15,DL1&gt;'ข้อมูลโรงเรียน'!$Z$16),4,IF(WEEKDAY(DL1,2)&gt;5,2,IF(COUNTIF('ข้อมูลโรงเรียน'!$Z$22:$Z$61,DL1)&gt;0,3,1))))</f>
        <v/>
      </c>
      <c r="DM2">
        <f>IF(DM1="",0,IF(OR(DM1&lt;'ข้อมูลโรงเรียน'!$Z$15,DM1&gt;'ข้อมูลโรงเรียน'!$Z$16),4,IF(WEEKDAY(DM1,2)&gt;5,2,IF(COUNTIF('ข้อมูลโรงเรียน'!$Z$22:$Z$61,DM1)&gt;0,3,1))))</f>
        <v/>
      </c>
      <c r="DN2">
        <f>IF(DN1="",0,IF(OR(DN1&lt;'ข้อมูลโรงเรียน'!$Z$15,DN1&gt;'ข้อมูลโรงเรียน'!$Z$16),4,IF(WEEKDAY(DN1,2)&gt;5,2,IF(COUNTIF('ข้อมูลโรงเรียน'!$Z$22:$Z$61,DN1)&gt;0,3,1))))</f>
        <v/>
      </c>
      <c r="DO2">
        <f>IF(DO1="",0,IF(OR(DO1&lt;'ข้อมูลโรงเรียน'!$Z$15,DO1&gt;'ข้อมูลโรงเรียน'!$Z$16),4,IF(WEEKDAY(DO1,2)&gt;5,2,IF(COUNTIF('ข้อมูลโรงเรียน'!$Z$22:$Z$61,DO1)&gt;0,3,1))))</f>
        <v/>
      </c>
      <c r="DP2">
        <f>IF(DP1="",0,IF(OR(DP1&lt;'ข้อมูลโรงเรียน'!$Z$15,DP1&gt;'ข้อมูลโรงเรียน'!$Z$16),4,IF(WEEKDAY(DP1,2)&gt;5,2,IF(COUNTIF('ข้อมูลโรงเรียน'!$Z$22:$Z$61,DP1)&gt;0,3,1))))</f>
        <v/>
      </c>
      <c r="DQ2">
        <f>IF(DQ1="",0,IF(OR(DQ1&lt;'ข้อมูลโรงเรียน'!$Z$15,DQ1&gt;'ข้อมูลโรงเรียน'!$Z$16),4,IF(WEEKDAY(DQ1,2)&gt;5,2,IF(COUNTIF('ข้อมูลโรงเรียน'!$Z$22:$Z$61,DQ1)&gt;0,3,1))))</f>
        <v/>
      </c>
      <c r="DR2">
        <f>IF(DR1="",0,IF(OR(DR1&lt;'ข้อมูลโรงเรียน'!$Z$15,DR1&gt;'ข้อมูลโรงเรียน'!$Z$16),4,IF(WEEKDAY(DR1,2)&gt;5,2,IF(COUNTIF('ข้อมูลโรงเรียน'!$Z$22:$Z$61,DR1)&gt;0,3,1))))</f>
        <v/>
      </c>
      <c r="DS2">
        <f>IF(DS1="",0,IF(OR(DS1&lt;'ข้อมูลโรงเรียน'!$Z$15,DS1&gt;'ข้อมูลโรงเรียน'!$Z$16),4,IF(WEEKDAY(DS1,2)&gt;5,2,IF(COUNTIF('ข้อมูลโรงเรียน'!$Z$22:$Z$61,DS1)&gt;0,3,1))))</f>
        <v/>
      </c>
      <c r="DT2">
        <f>IF(DT1="",0,IF(OR(DT1&lt;'ข้อมูลโรงเรียน'!$Z$15,DT1&gt;'ข้อมูลโรงเรียน'!$Z$16),4,IF(WEEKDAY(DT1,2)&gt;5,2,IF(COUNTIF('ข้อมูลโรงเรียน'!$Z$22:$Z$61,DT1)&gt;0,3,1))))</f>
        <v/>
      </c>
      <c r="DU2">
        <f>IF(DU1="",0,IF(OR(DU1&lt;'ข้อมูลโรงเรียน'!$Z$15,DU1&gt;'ข้อมูลโรงเรียน'!$Z$16),4,IF(WEEKDAY(DU1,2)&gt;5,2,IF(COUNTIF('ข้อมูลโรงเรียน'!$Z$22:$Z$61,DU1)&gt;0,3,1))))</f>
        <v/>
      </c>
      <c r="DV2">
        <f>IF(DV1="",0,IF(OR(DV1&lt;'ข้อมูลโรงเรียน'!$Z$15,DV1&gt;'ข้อมูลโรงเรียน'!$Z$16),4,IF(WEEKDAY(DV1,2)&gt;5,2,IF(COUNTIF('ข้อมูลโรงเรียน'!$Z$22:$Z$61,DV1)&gt;0,3,1))))</f>
        <v/>
      </c>
      <c r="DW2">
        <f>IF(DW1="",0,IF(OR(DW1&lt;'ข้อมูลโรงเรียน'!$Z$15,DW1&gt;'ข้อมูลโรงเรียน'!$Z$16),4,IF(WEEKDAY(DW1,2)&gt;5,2,IF(COUNTIF('ข้อมูลโรงเรียน'!$Z$22:$Z$61,DW1)&gt;0,3,1))))</f>
        <v/>
      </c>
      <c r="DX2">
        <f>IF(DX1="",0,IF(OR(DX1&lt;'ข้อมูลโรงเรียน'!$Z$15,DX1&gt;'ข้อมูลโรงเรียน'!$Z$16),4,IF(WEEKDAY(DX1,2)&gt;5,2,IF(COUNTIF('ข้อมูลโรงเรียน'!$Z$22:$Z$61,DX1)&gt;0,3,1))))</f>
        <v/>
      </c>
      <c r="DY2">
        <f>IF(DY1="",0,IF(OR(DY1&lt;'ข้อมูลโรงเรียน'!$Z$15,DY1&gt;'ข้อมูลโรงเรียน'!$Z$16),4,IF(WEEKDAY(DY1,2)&gt;5,2,IF(COUNTIF('ข้อมูลโรงเรียน'!$Z$22:$Z$61,DY1)&gt;0,3,1))))</f>
        <v/>
      </c>
      <c r="DZ2">
        <f>IF(DZ1="",0,IF(OR(DZ1&lt;'ข้อมูลโรงเรียน'!$Z$15,DZ1&gt;'ข้อมูลโรงเรียน'!$Z$16),4,IF(WEEKDAY(DZ1,2)&gt;5,2,IF(COUNTIF('ข้อมูลโรงเรียน'!$Z$22:$Z$61,DZ1)&gt;0,3,1))))</f>
        <v/>
      </c>
      <c r="EA2">
        <f>IF(EA1="",0,IF(OR(EA1&lt;'ข้อมูลโรงเรียน'!$Z$15,EA1&gt;'ข้อมูลโรงเรียน'!$Z$16),4,IF(WEEKDAY(EA1,2)&gt;5,2,IF(COUNTIF('ข้อมูลโรงเรียน'!$Z$22:$Z$61,EA1)&gt;0,3,1))))</f>
        <v/>
      </c>
      <c r="EB2">
        <f>IF(EB1="",0,IF(OR(EB1&lt;'ข้อมูลโรงเรียน'!$Z$15,EB1&gt;'ข้อมูลโรงเรียน'!$Z$16),4,IF(WEEKDAY(EB1,2)&gt;5,2,IF(COUNTIF('ข้อมูลโรงเรียน'!$Z$22:$Z$61,EB1)&gt;0,3,1))))</f>
        <v/>
      </c>
      <c r="EC2">
        <f>IF(EC1="",0,IF(OR(EC1&lt;'ข้อมูลโรงเรียน'!$Z$15,EC1&gt;'ข้อมูลโรงเรียน'!$Z$16),4,IF(WEEKDAY(EC1,2)&gt;5,2,IF(COUNTIF('ข้อมูลโรงเรียน'!$Z$22:$Z$61,EC1)&gt;0,3,1))))</f>
        <v/>
      </c>
      <c r="ED2">
        <f>IF(ED1="",0,IF(OR(ED1&lt;'ข้อมูลโรงเรียน'!$Z$15,ED1&gt;'ข้อมูลโรงเรียน'!$Z$16),4,IF(WEEKDAY(ED1,2)&gt;5,2,IF(COUNTIF('ข้อมูลโรงเรียน'!$Z$22:$Z$61,ED1)&gt;0,3,1))))</f>
        <v/>
      </c>
      <c r="EE2">
        <f>IF(EE1="",0,IF(OR(EE1&lt;'ข้อมูลโรงเรียน'!$Z$15,EE1&gt;'ข้อมูลโรงเรียน'!$Z$16),4,IF(WEEKDAY(EE1,2)&gt;5,2,IF(COUNTIF('ข้อมูลโรงเรียน'!$Z$22:$Z$61,EE1)&gt;0,3,1))))</f>
        <v/>
      </c>
      <c r="EF2">
        <f>IF(EF1="",0,IF(OR(EF1&lt;'ข้อมูลโรงเรียน'!$Z$15,EF1&gt;'ข้อมูลโรงเรียน'!$Z$16),4,IF(WEEKDAY(EF1,2)&gt;5,2,IF(COUNTIF('ข้อมูลโรงเรียน'!$Z$22:$Z$61,EF1)&gt;0,3,1))))</f>
        <v/>
      </c>
      <c r="EG2" t="inlineStr">
        <is>
          <t>s</t>
        </is>
      </c>
      <c r="EH2" t="inlineStr">
        <is>
          <t>s</t>
        </is>
      </c>
      <c r="EI2" t="inlineStr">
        <is>
          <t>s</t>
        </is>
      </c>
      <c r="EJ2">
        <f>IF(EJ1="",0,IF(OR(EJ1&lt;'ข้อมูลโรงเรียน'!$Z$15,EJ1&gt;'ข้อมูลโรงเรียน'!$Z$16),4,IF(WEEKDAY(EJ1,2)&gt;5,2,IF(COUNTIF('ข้อมูลโรงเรียน'!$Z$22:$Z$61,EJ1)&gt;0,3,1))))</f>
        <v/>
      </c>
      <c r="EK2">
        <f>IF(EK1="",0,IF(OR(EK1&lt;'ข้อมูลโรงเรียน'!$Z$15,EK1&gt;'ข้อมูลโรงเรียน'!$Z$16),4,IF(WEEKDAY(EK1,2)&gt;5,2,IF(COUNTIF('ข้อมูลโรงเรียน'!$Z$22:$Z$61,EK1)&gt;0,3,1))))</f>
        <v/>
      </c>
      <c r="EL2">
        <f>IF(EL1="",0,IF(OR(EL1&lt;'ข้อมูลโรงเรียน'!$Z$15,EL1&gt;'ข้อมูลโรงเรียน'!$Z$16),4,IF(WEEKDAY(EL1,2)&gt;5,2,IF(COUNTIF('ข้อมูลโรงเรียน'!$Z$22:$Z$61,EL1)&gt;0,3,1))))</f>
        <v/>
      </c>
      <c r="EM2">
        <f>IF(EM1="",0,IF(OR(EM1&lt;'ข้อมูลโรงเรียน'!$Z$15,EM1&gt;'ข้อมูลโรงเรียน'!$Z$16),4,IF(WEEKDAY(EM1,2)&gt;5,2,IF(COUNTIF('ข้อมูลโรงเรียน'!$Z$22:$Z$61,EM1)&gt;0,3,1))))</f>
        <v/>
      </c>
      <c r="EN2">
        <f>IF(EN1="",0,IF(OR(EN1&lt;'ข้อมูลโรงเรียน'!$Z$15,EN1&gt;'ข้อมูลโรงเรียน'!$Z$16),4,IF(WEEKDAY(EN1,2)&gt;5,2,IF(COUNTIF('ข้อมูลโรงเรียน'!$Z$22:$Z$61,EN1)&gt;0,3,1))))</f>
        <v/>
      </c>
      <c r="EO2">
        <f>IF(EO1="",0,IF(OR(EO1&lt;'ข้อมูลโรงเรียน'!$Z$15,EO1&gt;'ข้อมูลโรงเรียน'!$Z$16),4,IF(WEEKDAY(EO1,2)&gt;5,2,IF(COUNTIF('ข้อมูลโรงเรียน'!$Z$22:$Z$61,EO1)&gt;0,3,1))))</f>
        <v/>
      </c>
      <c r="EP2">
        <f>IF(EP1="",0,IF(OR(EP1&lt;'ข้อมูลโรงเรียน'!$Z$15,EP1&gt;'ข้อมูลโรงเรียน'!$Z$16),4,IF(WEEKDAY(EP1,2)&gt;5,2,IF(COUNTIF('ข้อมูลโรงเรียน'!$Z$22:$Z$61,EP1)&gt;0,3,1))))</f>
        <v/>
      </c>
      <c r="EQ2">
        <f>IF(EQ1="",0,IF(OR(EQ1&lt;'ข้อมูลโรงเรียน'!$Z$15,EQ1&gt;'ข้อมูลโรงเรียน'!$Z$16),4,IF(WEEKDAY(EQ1,2)&gt;5,2,IF(COUNTIF('ข้อมูลโรงเรียน'!$Z$22:$Z$61,EQ1)&gt;0,3,1))))</f>
        <v/>
      </c>
      <c r="ER2">
        <f>IF(ER1="",0,IF(OR(ER1&lt;'ข้อมูลโรงเรียน'!$Z$15,ER1&gt;'ข้อมูลโรงเรียน'!$Z$16),4,IF(WEEKDAY(ER1,2)&gt;5,2,IF(COUNTIF('ข้อมูลโรงเรียน'!$Z$22:$Z$61,ER1)&gt;0,3,1))))</f>
        <v/>
      </c>
      <c r="ES2">
        <f>IF(ES1="",0,IF(OR(ES1&lt;'ข้อมูลโรงเรียน'!$Z$15,ES1&gt;'ข้อมูลโรงเรียน'!$Z$16),4,IF(WEEKDAY(ES1,2)&gt;5,2,IF(COUNTIF('ข้อมูลโรงเรียน'!$Z$22:$Z$61,ES1)&gt;0,3,1))))</f>
        <v/>
      </c>
      <c r="ET2">
        <f>IF(ET1="",0,IF(OR(ET1&lt;'ข้อมูลโรงเรียน'!$Z$15,ET1&gt;'ข้อมูลโรงเรียน'!$Z$16),4,IF(WEEKDAY(ET1,2)&gt;5,2,IF(COUNTIF('ข้อมูลโรงเรียน'!$Z$22:$Z$61,ET1)&gt;0,3,1))))</f>
        <v/>
      </c>
      <c r="EU2">
        <f>IF(EU1="",0,IF(OR(EU1&lt;'ข้อมูลโรงเรียน'!$Z$15,EU1&gt;'ข้อมูลโรงเรียน'!$Z$16),4,IF(WEEKDAY(EU1,2)&gt;5,2,IF(COUNTIF('ข้อมูลโรงเรียน'!$Z$22:$Z$61,EU1)&gt;0,3,1))))</f>
        <v/>
      </c>
      <c r="EV2">
        <f>IF(EV1="",0,IF(OR(EV1&lt;'ข้อมูลโรงเรียน'!$Z$15,EV1&gt;'ข้อมูลโรงเรียน'!$Z$16),4,IF(WEEKDAY(EV1,2)&gt;5,2,IF(COUNTIF('ข้อมูลโรงเรียน'!$Z$22:$Z$61,EV1)&gt;0,3,1))))</f>
        <v/>
      </c>
      <c r="EW2">
        <f>IF(EW1="",0,IF(OR(EW1&lt;'ข้อมูลโรงเรียน'!$Z$15,EW1&gt;'ข้อมูลโรงเรียน'!$Z$16),4,IF(WEEKDAY(EW1,2)&gt;5,2,IF(COUNTIF('ข้อมูลโรงเรียน'!$Z$22:$Z$61,EW1)&gt;0,3,1))))</f>
        <v/>
      </c>
      <c r="EX2">
        <f>IF(EX1="",0,IF(OR(EX1&lt;'ข้อมูลโรงเรียน'!$Z$15,EX1&gt;'ข้อมูลโรงเรียน'!$Z$16),4,IF(WEEKDAY(EX1,2)&gt;5,2,IF(COUNTIF('ข้อมูลโรงเรียน'!$Z$22:$Z$61,EX1)&gt;0,3,1))))</f>
        <v/>
      </c>
      <c r="EY2">
        <f>IF(EY1="",0,IF(OR(EY1&lt;'ข้อมูลโรงเรียน'!$Z$15,EY1&gt;'ข้อมูลโรงเรียน'!$Z$16),4,IF(WEEKDAY(EY1,2)&gt;5,2,IF(COUNTIF('ข้อมูลโรงเรียน'!$Z$22:$Z$61,EY1)&gt;0,3,1))))</f>
        <v/>
      </c>
      <c r="EZ2">
        <f>IF(EZ1="",0,IF(OR(EZ1&lt;'ข้อมูลโรงเรียน'!$Z$15,EZ1&gt;'ข้อมูลโรงเรียน'!$Z$16),4,IF(WEEKDAY(EZ1,2)&gt;5,2,IF(COUNTIF('ข้อมูลโรงเรียน'!$Z$22:$Z$61,EZ1)&gt;0,3,1))))</f>
        <v/>
      </c>
      <c r="FA2">
        <f>IF(FA1="",0,IF(OR(FA1&lt;'ข้อมูลโรงเรียน'!$Z$15,FA1&gt;'ข้อมูลโรงเรียน'!$Z$16),4,IF(WEEKDAY(FA1,2)&gt;5,2,IF(COUNTIF('ข้อมูลโรงเรียน'!$Z$22:$Z$61,FA1)&gt;0,3,1))))</f>
        <v/>
      </c>
      <c r="FB2">
        <f>IF(FB1="",0,IF(OR(FB1&lt;'ข้อมูลโรงเรียน'!$Z$15,FB1&gt;'ข้อมูลโรงเรียน'!$Z$16),4,IF(WEEKDAY(FB1,2)&gt;5,2,IF(COUNTIF('ข้อมูลโรงเรียน'!$Z$22:$Z$61,FB1)&gt;0,3,1))))</f>
        <v/>
      </c>
      <c r="FC2">
        <f>IF(FC1="",0,IF(OR(FC1&lt;'ข้อมูลโรงเรียน'!$Z$15,FC1&gt;'ข้อมูลโรงเรียน'!$Z$16),4,IF(WEEKDAY(FC1,2)&gt;5,2,IF(COUNTIF('ข้อมูลโรงเรียน'!$Z$22:$Z$61,FC1)&gt;0,3,1))))</f>
        <v/>
      </c>
      <c r="FD2">
        <f>IF(FD1="",0,IF(OR(FD1&lt;'ข้อมูลโรงเรียน'!$Z$15,FD1&gt;'ข้อมูลโรงเรียน'!$Z$16),4,IF(WEEKDAY(FD1,2)&gt;5,2,IF(COUNTIF('ข้อมูลโรงเรียน'!$Z$22:$Z$61,FD1)&gt;0,3,1))))</f>
        <v/>
      </c>
      <c r="FE2">
        <f>IF(FE1="",0,IF(OR(FE1&lt;'ข้อมูลโรงเรียน'!$Z$15,FE1&gt;'ข้อมูลโรงเรียน'!$Z$16),4,IF(WEEKDAY(FE1,2)&gt;5,2,IF(COUNTIF('ข้อมูลโรงเรียน'!$Z$22:$Z$61,FE1)&gt;0,3,1))))</f>
        <v/>
      </c>
      <c r="FF2">
        <f>IF(FF1="",0,IF(OR(FF1&lt;'ข้อมูลโรงเรียน'!$Z$15,FF1&gt;'ข้อมูลโรงเรียน'!$Z$16),4,IF(WEEKDAY(FF1,2)&gt;5,2,IF(COUNTIF('ข้อมูลโรงเรียน'!$Z$22:$Z$61,FF1)&gt;0,3,1))))</f>
        <v/>
      </c>
      <c r="FG2">
        <f>IF(FG1="",0,IF(OR(FG1&lt;'ข้อมูลโรงเรียน'!$Z$15,FG1&gt;'ข้อมูลโรงเรียน'!$Z$16),4,IF(WEEKDAY(FG1,2)&gt;5,2,IF(COUNTIF('ข้อมูลโรงเรียน'!$Z$22:$Z$61,FG1)&gt;0,3,1))))</f>
        <v/>
      </c>
      <c r="FH2">
        <f>IF(FH1="",0,IF(OR(FH1&lt;'ข้อมูลโรงเรียน'!$Z$15,FH1&gt;'ข้อมูลโรงเรียน'!$Z$16),4,IF(WEEKDAY(FH1,2)&gt;5,2,IF(COUNTIF('ข้อมูลโรงเรียน'!$Z$22:$Z$61,FH1)&gt;0,3,1))))</f>
        <v/>
      </c>
      <c r="FI2">
        <f>IF(FI1="",0,IF(OR(FI1&lt;'ข้อมูลโรงเรียน'!$Z$15,FI1&gt;'ข้อมูลโรงเรียน'!$Z$16),4,IF(WEEKDAY(FI1,2)&gt;5,2,IF(COUNTIF('ข้อมูลโรงเรียน'!$Z$22:$Z$61,FI1)&gt;0,3,1))))</f>
        <v/>
      </c>
      <c r="FJ2">
        <f>IF(FJ1="",0,IF(OR(FJ1&lt;'ข้อมูลโรงเรียน'!$Z$15,FJ1&gt;'ข้อมูลโรงเรียน'!$Z$16),4,IF(WEEKDAY(FJ1,2)&gt;5,2,IF(COUNTIF('ข้อมูลโรงเรียน'!$Z$22:$Z$61,FJ1)&gt;0,3,1))))</f>
        <v/>
      </c>
      <c r="FK2">
        <f>IF(FK1="",0,IF(OR(FK1&lt;'ข้อมูลโรงเรียน'!$Z$15,FK1&gt;'ข้อมูลโรงเรียน'!$Z$16),4,IF(WEEKDAY(FK1,2)&gt;5,2,IF(COUNTIF('ข้อมูลโรงเรียน'!$Z$22:$Z$61,FK1)&gt;0,3,1))))</f>
        <v/>
      </c>
      <c r="FL2">
        <f>IF(FL1="",0,IF(OR(FL1&lt;'ข้อมูลโรงเรียน'!$Z$15,FL1&gt;'ข้อมูลโรงเรียน'!$Z$16),4,IF(WEEKDAY(FL1,2)&gt;5,2,IF(COUNTIF('ข้อมูลโรงเรียน'!$Z$22:$Z$61,FL1)&gt;0,3,1))))</f>
        <v/>
      </c>
      <c r="FM2">
        <f>IF(FM1="",0,IF(OR(FM1&lt;'ข้อมูลโรงเรียน'!$Z$15,FM1&gt;'ข้อมูลโรงเรียน'!$Z$16),4,IF(WEEKDAY(FM1,2)&gt;5,2,IF(COUNTIF('ข้อมูลโรงเรียน'!$Z$22:$Z$61,FM1)&gt;0,3,1))))</f>
        <v/>
      </c>
      <c r="FN2">
        <f>IF(FN1="",0,IF(OR(FN1&lt;'ข้อมูลโรงเรียน'!$Z$15,FN1&gt;'ข้อมูลโรงเรียน'!$Z$16),4,IF(WEEKDAY(FN1,2)&gt;5,2,IF(COUNTIF('ข้อมูลโรงเรียน'!$Z$22:$Z$61,FN1)&gt;0,3,1))))</f>
        <v/>
      </c>
      <c r="FO2" t="inlineStr">
        <is>
          <t>s</t>
        </is>
      </c>
      <c r="FP2" t="inlineStr">
        <is>
          <t>s</t>
        </is>
      </c>
      <c r="FQ2" t="inlineStr">
        <is>
          <t>s</t>
        </is>
      </c>
      <c r="FR2">
        <f>IF(FR1="",0,IF(OR(FR1&lt;'ข้อมูลโรงเรียน'!$Z$15,FR1&gt;'ข้อมูลโรงเรียน'!$Z$16),4,IF(WEEKDAY(FR1,2)&gt;5,2,IF(COUNTIF('ข้อมูลโรงเรียน'!$Z$22:$Z$61,FR1)&gt;0,3,1))))</f>
        <v/>
      </c>
      <c r="FS2">
        <f>IF(FS1="",0,IF(OR(FS1&lt;'ข้อมูลโรงเรียน'!$Z$15,FS1&gt;'ข้อมูลโรงเรียน'!$Z$16),4,IF(WEEKDAY(FS1,2)&gt;5,2,IF(COUNTIF('ข้อมูลโรงเรียน'!$Z$22:$Z$61,FS1)&gt;0,3,1))))</f>
        <v/>
      </c>
      <c r="FT2">
        <f>IF(FT1="",0,IF(OR(FT1&lt;'ข้อมูลโรงเรียน'!$Z$15,FT1&gt;'ข้อมูลโรงเรียน'!$Z$16),4,IF(WEEKDAY(FT1,2)&gt;5,2,IF(COUNTIF('ข้อมูลโรงเรียน'!$Z$22:$Z$61,FT1)&gt;0,3,1))))</f>
        <v/>
      </c>
      <c r="FU2">
        <f>IF(FU1="",0,IF(OR(FU1&lt;'ข้อมูลโรงเรียน'!$Z$15,FU1&gt;'ข้อมูลโรงเรียน'!$Z$16),4,IF(WEEKDAY(FU1,2)&gt;5,2,IF(COUNTIF('ข้อมูลโรงเรียน'!$Z$22:$Z$61,FU1)&gt;0,3,1))))</f>
        <v/>
      </c>
      <c r="FV2">
        <f>IF(FV1="",0,IF(OR(FV1&lt;'ข้อมูลโรงเรียน'!$Z$15,FV1&gt;'ข้อมูลโรงเรียน'!$Z$16),4,IF(WEEKDAY(FV1,2)&gt;5,2,IF(COUNTIF('ข้อมูลโรงเรียน'!$Z$22:$Z$61,FV1)&gt;0,3,1))))</f>
        <v/>
      </c>
      <c r="FW2">
        <f>IF(FW1="",0,IF(OR(FW1&lt;'ข้อมูลโรงเรียน'!$Z$15,FW1&gt;'ข้อมูลโรงเรียน'!$Z$16),4,IF(WEEKDAY(FW1,2)&gt;5,2,IF(COUNTIF('ข้อมูลโรงเรียน'!$Z$22:$Z$61,FW1)&gt;0,3,1))))</f>
        <v/>
      </c>
      <c r="FX2">
        <f>IF(FX1="",0,IF(OR(FX1&lt;'ข้อมูลโรงเรียน'!$Z$15,FX1&gt;'ข้อมูลโรงเรียน'!$Z$16),4,IF(WEEKDAY(FX1,2)&gt;5,2,IF(COUNTIF('ข้อมูลโรงเรียน'!$Z$22:$Z$61,FX1)&gt;0,3,1))))</f>
        <v/>
      </c>
      <c r="FY2">
        <f>IF(FY1="",0,IF(OR(FY1&lt;'ข้อมูลโรงเรียน'!$Z$15,FY1&gt;'ข้อมูลโรงเรียน'!$Z$16),4,IF(WEEKDAY(FY1,2)&gt;5,2,IF(COUNTIF('ข้อมูลโรงเรียน'!$Z$22:$Z$61,FY1)&gt;0,3,1))))</f>
        <v/>
      </c>
      <c r="FZ2">
        <f>IF(FZ1="",0,IF(OR(FZ1&lt;'ข้อมูลโรงเรียน'!$Z$15,FZ1&gt;'ข้อมูลโรงเรียน'!$Z$16),4,IF(WEEKDAY(FZ1,2)&gt;5,2,IF(COUNTIF('ข้อมูลโรงเรียน'!$Z$22:$Z$61,FZ1)&gt;0,3,1))))</f>
        <v/>
      </c>
      <c r="GA2">
        <f>IF(GA1="",0,IF(OR(GA1&lt;'ข้อมูลโรงเรียน'!$Z$15,GA1&gt;'ข้อมูลโรงเรียน'!$Z$16),4,IF(WEEKDAY(GA1,2)&gt;5,2,IF(COUNTIF('ข้อมูลโรงเรียน'!$Z$22:$Z$61,GA1)&gt;0,3,1))))</f>
        <v/>
      </c>
      <c r="GB2">
        <f>IF(GB1="",0,IF(OR(GB1&lt;'ข้อมูลโรงเรียน'!$Z$15,GB1&gt;'ข้อมูลโรงเรียน'!$Z$16),4,IF(WEEKDAY(GB1,2)&gt;5,2,IF(COUNTIF('ข้อมูลโรงเรียน'!$Z$22:$Z$61,GB1)&gt;0,3,1))))</f>
        <v/>
      </c>
      <c r="GC2">
        <f>IF(GC1="",0,IF(OR(GC1&lt;'ข้อมูลโรงเรียน'!$Z$15,GC1&gt;'ข้อมูลโรงเรียน'!$Z$16),4,IF(WEEKDAY(GC1,2)&gt;5,2,IF(COUNTIF('ข้อมูลโรงเรียน'!$Z$22:$Z$61,GC1)&gt;0,3,1))))</f>
        <v/>
      </c>
      <c r="GD2">
        <f>IF(GD1="",0,IF(OR(GD1&lt;'ข้อมูลโรงเรียน'!$Z$15,GD1&gt;'ข้อมูลโรงเรียน'!$Z$16),4,IF(WEEKDAY(GD1,2)&gt;5,2,IF(COUNTIF('ข้อมูลโรงเรียน'!$Z$22:$Z$61,GD1)&gt;0,3,1))))</f>
        <v/>
      </c>
      <c r="GE2">
        <f>IF(GE1="",0,IF(OR(GE1&lt;'ข้อมูลโรงเรียน'!$Z$15,GE1&gt;'ข้อมูลโรงเรียน'!$Z$16),4,IF(WEEKDAY(GE1,2)&gt;5,2,IF(COUNTIF('ข้อมูลโรงเรียน'!$Z$22:$Z$61,GE1)&gt;0,3,1))))</f>
        <v/>
      </c>
      <c r="GF2">
        <f>IF(GF1="",0,IF(OR(GF1&lt;'ข้อมูลโรงเรียน'!$Z$15,GF1&gt;'ข้อมูลโรงเรียน'!$Z$16),4,IF(WEEKDAY(GF1,2)&gt;5,2,IF(COUNTIF('ข้อมูลโรงเรียน'!$Z$22:$Z$61,GF1)&gt;0,3,1))))</f>
        <v/>
      </c>
      <c r="GG2">
        <f>IF(GG1="",0,IF(OR(GG1&lt;'ข้อมูลโรงเรียน'!$Z$15,GG1&gt;'ข้อมูลโรงเรียน'!$Z$16),4,IF(WEEKDAY(GG1,2)&gt;5,2,IF(COUNTIF('ข้อมูลโรงเรียน'!$Z$22:$Z$61,GG1)&gt;0,3,1))))</f>
        <v/>
      </c>
      <c r="GH2">
        <f>IF(GH1="",0,IF(OR(GH1&lt;'ข้อมูลโรงเรียน'!$Z$15,GH1&gt;'ข้อมูลโรงเรียน'!$Z$16),4,IF(WEEKDAY(GH1,2)&gt;5,2,IF(COUNTIF('ข้อมูลโรงเรียน'!$Z$22:$Z$61,GH1)&gt;0,3,1))))</f>
        <v/>
      </c>
      <c r="GI2">
        <f>IF(GI1="",0,IF(OR(GI1&lt;'ข้อมูลโรงเรียน'!$Z$15,GI1&gt;'ข้อมูลโรงเรียน'!$Z$16),4,IF(WEEKDAY(GI1,2)&gt;5,2,IF(COUNTIF('ข้อมูลโรงเรียน'!$Z$22:$Z$61,GI1)&gt;0,3,1))))</f>
        <v/>
      </c>
      <c r="GJ2">
        <f>IF(GJ1="",0,IF(OR(GJ1&lt;'ข้อมูลโรงเรียน'!$Z$15,GJ1&gt;'ข้อมูลโรงเรียน'!$Z$16),4,IF(WEEKDAY(GJ1,2)&gt;5,2,IF(COUNTIF('ข้อมูลโรงเรียน'!$Z$22:$Z$61,GJ1)&gt;0,3,1))))</f>
        <v/>
      </c>
      <c r="GK2">
        <f>IF(GK1="",0,IF(OR(GK1&lt;'ข้อมูลโรงเรียน'!$Z$15,GK1&gt;'ข้อมูลโรงเรียน'!$Z$16),4,IF(WEEKDAY(GK1,2)&gt;5,2,IF(COUNTIF('ข้อมูลโรงเรียน'!$Z$22:$Z$61,GK1)&gt;0,3,1))))</f>
        <v/>
      </c>
      <c r="GL2">
        <f>IF(GL1="",0,IF(OR(GL1&lt;'ข้อมูลโรงเรียน'!$Z$15,GL1&gt;'ข้อมูลโรงเรียน'!$Z$16),4,IF(WEEKDAY(GL1,2)&gt;5,2,IF(COUNTIF('ข้อมูลโรงเรียน'!$Z$22:$Z$61,GL1)&gt;0,3,1))))</f>
        <v/>
      </c>
      <c r="GM2">
        <f>IF(GM1="",0,IF(OR(GM1&lt;'ข้อมูลโรงเรียน'!$Z$15,GM1&gt;'ข้อมูลโรงเรียน'!$Z$16),4,IF(WEEKDAY(GM1,2)&gt;5,2,IF(COUNTIF('ข้อมูลโรงเรียน'!$Z$22:$Z$61,GM1)&gt;0,3,1))))</f>
        <v/>
      </c>
      <c r="GN2">
        <f>IF(GN1="",0,IF(OR(GN1&lt;'ข้อมูลโรงเรียน'!$Z$15,GN1&gt;'ข้อมูลโรงเรียน'!$Z$16),4,IF(WEEKDAY(GN1,2)&gt;5,2,IF(COUNTIF('ข้อมูลโรงเรียน'!$Z$22:$Z$61,GN1)&gt;0,3,1))))</f>
        <v/>
      </c>
      <c r="GO2">
        <f>IF(GO1="",0,IF(OR(GO1&lt;'ข้อมูลโรงเรียน'!$Z$15,GO1&gt;'ข้อมูลโรงเรียน'!$Z$16),4,IF(WEEKDAY(GO1,2)&gt;5,2,IF(COUNTIF('ข้อมูลโรงเรียน'!$Z$22:$Z$61,GO1)&gt;0,3,1))))</f>
        <v/>
      </c>
      <c r="GP2">
        <f>IF(GP1="",0,IF(OR(GP1&lt;'ข้อมูลโรงเรียน'!$Z$15,GP1&gt;'ข้อมูลโรงเรียน'!$Z$16),4,IF(WEEKDAY(GP1,2)&gt;5,2,IF(COUNTIF('ข้อมูลโรงเรียน'!$Z$22:$Z$61,GP1)&gt;0,3,1))))</f>
        <v/>
      </c>
      <c r="GQ2">
        <f>IF(GQ1="",0,IF(OR(GQ1&lt;'ข้อมูลโรงเรียน'!$Z$15,GQ1&gt;'ข้อมูลโรงเรียน'!$Z$16),4,IF(WEEKDAY(GQ1,2)&gt;5,2,IF(COUNTIF('ข้อมูลโรงเรียน'!$Z$22:$Z$61,GQ1)&gt;0,3,1))))</f>
        <v/>
      </c>
      <c r="GR2">
        <f>IF(GR1="",0,IF(OR(GR1&lt;'ข้อมูลโรงเรียน'!$Z$15,GR1&gt;'ข้อมูลโรงเรียน'!$Z$16),4,IF(WEEKDAY(GR1,2)&gt;5,2,IF(COUNTIF('ข้อมูลโรงเรียน'!$Z$22:$Z$61,GR1)&gt;0,3,1))))</f>
        <v/>
      </c>
      <c r="GS2">
        <f>IF(GS1="",0,IF(OR(GS1&lt;'ข้อมูลโรงเรียน'!$Z$15,GS1&gt;'ข้อมูลโรงเรียน'!$Z$16),4,IF(WEEKDAY(GS1,2)&gt;5,2,IF(COUNTIF('ข้อมูลโรงเรียน'!$Z$22:$Z$61,GS1)&gt;0,3,1))))</f>
        <v/>
      </c>
      <c r="GT2">
        <f>IF(GT1="",0,IF(OR(GT1&lt;'ข้อมูลโรงเรียน'!$Z$15,GT1&gt;'ข้อมูลโรงเรียน'!$Z$16),4,IF(WEEKDAY(GT1,2)&gt;5,2,IF(COUNTIF('ข้อมูลโรงเรียน'!$Z$22:$Z$61,GT1)&gt;0,3,1))))</f>
        <v/>
      </c>
      <c r="GU2">
        <f>IF(GU1="",0,IF(OR(GU1&lt;'ข้อมูลโรงเรียน'!$Z$15,GU1&gt;'ข้อมูลโรงเรียน'!$Z$16),4,IF(WEEKDAY(GU1,2)&gt;5,2,IF(COUNTIF('ข้อมูลโรงเรียน'!$Z$22:$Z$61,GU1)&gt;0,3,1))))</f>
        <v/>
      </c>
      <c r="GV2">
        <f>IF(GV1="",0,IF(OR(GV1&lt;'ข้อมูลโรงเรียน'!$Z$15,GV1&gt;'ข้อมูลโรงเรียน'!$Z$16),4,IF(WEEKDAY(GV1,2)&gt;5,2,IF(COUNTIF('ข้อมูลโรงเรียน'!$Z$22:$Z$61,GV1)&gt;0,3,1))))</f>
        <v/>
      </c>
      <c r="GW2" t="inlineStr">
        <is>
          <t>s</t>
        </is>
      </c>
      <c r="GX2" t="inlineStr">
        <is>
          <t>s</t>
        </is>
      </c>
      <c r="GY2" t="inlineStr">
        <is>
          <t>s</t>
        </is>
      </c>
    </row>
    <row r="3">
      <c r="A3" t="inlineStr">
        <is>
          <t>ภ1 วันหยุด</t>
        </is>
      </c>
      <c r="D3">
        <f>IF(D2=3,INDEX('ข้อมูลโรงเรียน'!$B$22:$B$61,MATCH(D1,'ข้อมูลโรงเรียน'!$Z$22:$Z$61,0)),"")</f>
        <v/>
      </c>
      <c r="E3">
        <f>IF(E2=3,INDEX('ข้อมูลโรงเรียน'!$B$22:$B$61,MATCH(E1,'ข้อมูลโรงเรียน'!$Z$22:$Z$61,0)),"")</f>
        <v/>
      </c>
      <c r="F3">
        <f>IF(F2=3,INDEX('ข้อมูลโรงเรียน'!$B$22:$B$61,MATCH(F1,'ข้อมูลโรงเรียน'!$Z$22:$Z$61,0)),"")</f>
        <v/>
      </c>
      <c r="G3">
        <f>IF(G2=3,INDEX('ข้อมูลโรงเรียน'!$B$22:$B$61,MATCH(G1,'ข้อมูลโรงเรียน'!$Z$22:$Z$61,0)),"")</f>
        <v/>
      </c>
      <c r="H3">
        <f>IF(H2=3,INDEX('ข้อมูลโรงเรียน'!$B$22:$B$61,MATCH(H1,'ข้อมูลโรงเรียน'!$Z$22:$Z$61,0)),"")</f>
        <v/>
      </c>
      <c r="I3">
        <f>IF(I2=3,INDEX('ข้อมูลโรงเรียน'!$B$22:$B$61,MATCH(I1,'ข้อมูลโรงเรียน'!$Z$22:$Z$61,0)),"")</f>
        <v/>
      </c>
      <c r="J3">
        <f>IF(J2=3,INDEX('ข้อมูลโรงเรียน'!$B$22:$B$61,MATCH(J1,'ข้อมูลโรงเรียน'!$Z$22:$Z$61,0)),"")</f>
        <v/>
      </c>
      <c r="K3">
        <f>IF(K2=3,INDEX('ข้อมูลโรงเรียน'!$B$22:$B$61,MATCH(K1,'ข้อมูลโรงเรียน'!$Z$22:$Z$61,0)),"")</f>
        <v/>
      </c>
      <c r="L3">
        <f>IF(L2=3,INDEX('ข้อมูลโรงเรียน'!$B$22:$B$61,MATCH(L1,'ข้อมูลโรงเรียน'!$Z$22:$Z$61,0)),"")</f>
        <v/>
      </c>
      <c r="M3">
        <f>IF(M2=3,INDEX('ข้อมูลโรงเรียน'!$B$22:$B$61,MATCH(M1,'ข้อมูลโรงเรียน'!$Z$22:$Z$61,0)),"")</f>
        <v/>
      </c>
      <c r="N3">
        <f>IF(N2=3,INDEX('ข้อมูลโรงเรียน'!$B$22:$B$61,MATCH(N1,'ข้อมูลโรงเรียน'!$Z$22:$Z$61,0)),"")</f>
        <v/>
      </c>
      <c r="O3">
        <f>IF(O2=3,INDEX('ข้อมูลโรงเรียน'!$B$22:$B$61,MATCH(O1,'ข้อมูลโรงเรียน'!$Z$22:$Z$61,0)),"")</f>
        <v/>
      </c>
      <c r="P3">
        <f>IF(P2=3,INDEX('ข้อมูลโรงเรียน'!$B$22:$B$61,MATCH(P1,'ข้อมูลโรงเรียน'!$Z$22:$Z$61,0)),"")</f>
        <v/>
      </c>
      <c r="Q3">
        <f>IF(Q2=3,INDEX('ข้อมูลโรงเรียน'!$B$22:$B$61,MATCH(Q1,'ข้อมูลโรงเรียน'!$Z$22:$Z$61,0)),"")</f>
        <v/>
      </c>
      <c r="R3">
        <f>IF(R2=3,INDEX('ข้อมูลโรงเรียน'!$B$22:$B$61,MATCH(R1,'ข้อมูลโรงเรียน'!$Z$22:$Z$61,0)),"")</f>
        <v/>
      </c>
      <c r="S3">
        <f>IF(S2=3,INDEX('ข้อมูลโรงเรียน'!$B$22:$B$61,MATCH(S1,'ข้อมูลโรงเรียน'!$Z$22:$Z$61,0)),"")</f>
        <v/>
      </c>
      <c r="T3">
        <f>IF(T2=3,INDEX('ข้อมูลโรงเรียน'!$B$22:$B$61,MATCH(T1,'ข้อมูลโรงเรียน'!$Z$22:$Z$61,0)),"")</f>
        <v/>
      </c>
      <c r="U3">
        <f>IF(U2=3,INDEX('ข้อมูลโรงเรียน'!$B$22:$B$61,MATCH(U1,'ข้อมูลโรงเรียน'!$Z$22:$Z$61,0)),"")</f>
        <v/>
      </c>
      <c r="V3">
        <f>IF(V2=3,INDEX('ข้อมูลโรงเรียน'!$B$22:$B$61,MATCH(V1,'ข้อมูลโรงเรียน'!$Z$22:$Z$61,0)),"")</f>
        <v/>
      </c>
      <c r="W3">
        <f>IF(W2=3,INDEX('ข้อมูลโรงเรียน'!$B$22:$B$61,MATCH(W1,'ข้อมูลโรงเรียน'!$Z$22:$Z$61,0)),"")</f>
        <v/>
      </c>
      <c r="X3">
        <f>IF(X2=3,INDEX('ข้อมูลโรงเรียน'!$B$22:$B$61,MATCH(X1,'ข้อมูลโรงเรียน'!$Z$22:$Z$61,0)),"")</f>
        <v/>
      </c>
      <c r="Y3">
        <f>IF(Y2=3,INDEX('ข้อมูลโรงเรียน'!$B$22:$B$61,MATCH(Y1,'ข้อมูลโรงเรียน'!$Z$22:$Z$61,0)),"")</f>
        <v/>
      </c>
      <c r="Z3">
        <f>IF(Z2=3,INDEX('ข้อมูลโรงเรียน'!$B$22:$B$61,MATCH(Z1,'ข้อมูลโรงเรียน'!$Z$22:$Z$61,0)),"")</f>
        <v/>
      </c>
      <c r="AA3">
        <f>IF(AA2=3,INDEX('ข้อมูลโรงเรียน'!$B$22:$B$61,MATCH(AA1,'ข้อมูลโรงเรียน'!$Z$22:$Z$61,0)),"")</f>
        <v/>
      </c>
      <c r="AB3">
        <f>IF(AB2=3,INDEX('ข้อมูลโรงเรียน'!$B$22:$B$61,MATCH(AB1,'ข้อมูลโรงเรียน'!$Z$22:$Z$61,0)),"")</f>
        <v/>
      </c>
      <c r="AC3">
        <f>IF(AC2=3,INDEX('ข้อมูลโรงเรียน'!$B$22:$B$61,MATCH(AC1,'ข้อมูลโรงเรียน'!$Z$22:$Z$61,0)),"")</f>
        <v/>
      </c>
      <c r="AD3">
        <f>IF(AD2=3,INDEX('ข้อมูลโรงเรียน'!$B$22:$B$61,MATCH(AD1,'ข้อมูลโรงเรียน'!$Z$22:$Z$61,0)),"")</f>
        <v/>
      </c>
      <c r="AE3">
        <f>IF(AE2=3,INDEX('ข้อมูลโรงเรียน'!$B$22:$B$61,MATCH(AE1,'ข้อมูลโรงเรียน'!$Z$22:$Z$61,0)),"")</f>
        <v/>
      </c>
      <c r="AF3">
        <f>IF(AF2=3,INDEX('ข้อมูลโรงเรียน'!$B$22:$B$61,MATCH(AF1,'ข้อมูลโรงเรียน'!$Z$22:$Z$61,0)),"")</f>
        <v/>
      </c>
      <c r="AG3">
        <f>IF(AG2=3,INDEX('ข้อมูลโรงเรียน'!$B$22:$B$61,MATCH(AG1,'ข้อมูลโรงเรียน'!$Z$22:$Z$61,0)),"")</f>
        <v/>
      </c>
      <c r="AH3">
        <f>IF(AH2=3,INDEX('ข้อมูลโรงเรียน'!$B$22:$B$61,MATCH(AH1,'ข้อมูลโรงเรียน'!$Z$22:$Z$61,0)),"")</f>
        <v/>
      </c>
      <c r="AL3">
        <f>IF(AL2=3,INDEX('ข้อมูลโรงเรียน'!$B$22:$B$61,MATCH(AL1,'ข้อมูลโรงเรียน'!$Z$22:$Z$61,0)),"")</f>
        <v/>
      </c>
      <c r="AM3">
        <f>IF(AM2=3,INDEX('ข้อมูลโรงเรียน'!$B$22:$B$61,MATCH(AM1,'ข้อมูลโรงเรียน'!$Z$22:$Z$61,0)),"")</f>
        <v/>
      </c>
      <c r="AN3">
        <f>IF(AN2=3,INDEX('ข้อมูลโรงเรียน'!$B$22:$B$61,MATCH(AN1,'ข้อมูลโรงเรียน'!$Z$22:$Z$61,0)),"")</f>
        <v/>
      </c>
      <c r="AO3">
        <f>IF(AO2=3,INDEX('ข้อมูลโรงเรียน'!$B$22:$B$61,MATCH(AO1,'ข้อมูลโรงเรียน'!$Z$22:$Z$61,0)),"")</f>
        <v/>
      </c>
      <c r="AP3">
        <f>IF(AP2=3,INDEX('ข้อมูลโรงเรียน'!$B$22:$B$61,MATCH(AP1,'ข้อมูลโรงเรียน'!$Z$22:$Z$61,0)),"")</f>
        <v/>
      </c>
      <c r="AQ3">
        <f>IF(AQ2=3,INDEX('ข้อมูลโรงเรียน'!$B$22:$B$61,MATCH(AQ1,'ข้อมูลโรงเรียน'!$Z$22:$Z$61,0)),"")</f>
        <v/>
      </c>
      <c r="AR3">
        <f>IF(AR2=3,INDEX('ข้อมูลโรงเรียน'!$B$22:$B$61,MATCH(AR1,'ข้อมูลโรงเรียน'!$Z$22:$Z$61,0)),"")</f>
        <v/>
      </c>
      <c r="AS3">
        <f>IF(AS2=3,INDEX('ข้อมูลโรงเรียน'!$B$22:$B$61,MATCH(AS1,'ข้อมูลโรงเรียน'!$Z$22:$Z$61,0)),"")</f>
        <v/>
      </c>
      <c r="AT3">
        <f>IF(AT2=3,INDEX('ข้อมูลโรงเรียน'!$B$22:$B$61,MATCH(AT1,'ข้อมูลโรงเรียน'!$Z$22:$Z$61,0)),"")</f>
        <v/>
      </c>
      <c r="AU3">
        <f>IF(AU2=3,INDEX('ข้อมูลโรงเรียน'!$B$22:$B$61,MATCH(AU1,'ข้อมูลโรงเรียน'!$Z$22:$Z$61,0)),"")</f>
        <v/>
      </c>
      <c r="AV3">
        <f>IF(AV2=3,INDEX('ข้อมูลโรงเรียน'!$B$22:$B$61,MATCH(AV1,'ข้อมูลโรงเรียน'!$Z$22:$Z$61,0)),"")</f>
        <v/>
      </c>
      <c r="AW3">
        <f>IF(AW2=3,INDEX('ข้อมูลโรงเรียน'!$B$22:$B$61,MATCH(AW1,'ข้อมูลโรงเรียน'!$Z$22:$Z$61,0)),"")</f>
        <v/>
      </c>
      <c r="AX3">
        <f>IF(AX2=3,INDEX('ข้อมูลโรงเรียน'!$B$22:$B$61,MATCH(AX1,'ข้อมูลโรงเรียน'!$Z$22:$Z$61,0)),"")</f>
        <v/>
      </c>
      <c r="AY3">
        <f>IF(AY2=3,INDEX('ข้อมูลโรงเรียน'!$B$22:$B$61,MATCH(AY1,'ข้อมูลโรงเรียน'!$Z$22:$Z$61,0)),"")</f>
        <v/>
      </c>
      <c r="AZ3">
        <f>IF(AZ2=3,INDEX('ข้อมูลโรงเรียน'!$B$22:$B$61,MATCH(AZ1,'ข้อมูลโรงเรียน'!$Z$22:$Z$61,0)),"")</f>
        <v/>
      </c>
      <c r="BA3">
        <f>IF(BA2=3,INDEX('ข้อมูลโรงเรียน'!$B$22:$B$61,MATCH(BA1,'ข้อมูลโรงเรียน'!$Z$22:$Z$61,0)),"")</f>
        <v/>
      </c>
      <c r="BB3">
        <f>IF(BB2=3,INDEX('ข้อมูลโรงเรียน'!$B$22:$B$61,MATCH(BB1,'ข้อมูลโรงเรียน'!$Z$22:$Z$61,0)),"")</f>
        <v/>
      </c>
      <c r="BC3">
        <f>IF(BC2=3,INDEX('ข้อมูลโรงเรียน'!$B$22:$B$61,MATCH(BC1,'ข้อมูลโรงเรียน'!$Z$22:$Z$61,0)),"")</f>
        <v/>
      </c>
      <c r="BD3">
        <f>IF(BD2=3,INDEX('ข้อมูลโรงเรียน'!$B$22:$B$61,MATCH(BD1,'ข้อมูลโรงเรียน'!$Z$22:$Z$61,0)),"")</f>
        <v/>
      </c>
      <c r="BE3">
        <f>IF(BE2=3,INDEX('ข้อมูลโรงเรียน'!$B$22:$B$61,MATCH(BE1,'ข้อมูลโรงเรียน'!$Z$22:$Z$61,0)),"")</f>
        <v/>
      </c>
      <c r="BF3">
        <f>IF(BF2=3,INDEX('ข้อมูลโรงเรียน'!$B$22:$B$61,MATCH(BF1,'ข้อมูลโรงเรียน'!$Z$22:$Z$61,0)),"")</f>
        <v/>
      </c>
      <c r="BG3">
        <f>IF(BG2=3,INDEX('ข้อมูลโรงเรียน'!$B$22:$B$61,MATCH(BG1,'ข้อมูลโรงเรียน'!$Z$22:$Z$61,0)),"")</f>
        <v/>
      </c>
      <c r="BH3">
        <f>IF(BH2=3,INDEX('ข้อมูลโรงเรียน'!$B$22:$B$61,MATCH(BH1,'ข้อมูลโรงเรียน'!$Z$22:$Z$61,0)),"")</f>
        <v/>
      </c>
      <c r="BI3">
        <f>IF(BI2=3,INDEX('ข้อมูลโรงเรียน'!$B$22:$B$61,MATCH(BI1,'ข้อมูลโรงเรียน'!$Z$22:$Z$61,0)),"")</f>
        <v/>
      </c>
      <c r="BJ3">
        <f>IF(BJ2=3,INDEX('ข้อมูลโรงเรียน'!$B$22:$B$61,MATCH(BJ1,'ข้อมูลโรงเรียน'!$Z$22:$Z$61,0)),"")</f>
        <v/>
      </c>
      <c r="BK3">
        <f>IF(BK2=3,INDEX('ข้อมูลโรงเรียน'!$B$22:$B$61,MATCH(BK1,'ข้อมูลโรงเรียน'!$Z$22:$Z$61,0)),"")</f>
        <v/>
      </c>
      <c r="BL3">
        <f>IF(BL2=3,INDEX('ข้อมูลโรงเรียน'!$B$22:$B$61,MATCH(BL1,'ข้อมูลโรงเรียน'!$Z$22:$Z$61,0)),"")</f>
        <v/>
      </c>
      <c r="BM3">
        <f>IF(BM2=3,INDEX('ข้อมูลโรงเรียน'!$B$22:$B$61,MATCH(BM1,'ข้อมูลโรงเรียน'!$Z$22:$Z$61,0)),"")</f>
        <v/>
      </c>
      <c r="BN3">
        <f>IF(BN2=3,INDEX('ข้อมูลโรงเรียน'!$B$22:$B$61,MATCH(BN1,'ข้อมูลโรงเรียน'!$Z$22:$Z$61,0)),"")</f>
        <v/>
      </c>
      <c r="BO3">
        <f>IF(BO2=3,INDEX('ข้อมูลโรงเรียน'!$B$22:$B$61,MATCH(BO1,'ข้อมูลโรงเรียน'!$Z$22:$Z$61,0)),"")</f>
        <v/>
      </c>
      <c r="BP3">
        <f>IF(BP2=3,INDEX('ข้อมูลโรงเรียน'!$B$22:$B$61,MATCH(BP1,'ข้อมูลโรงเรียน'!$Z$22:$Z$61,0)),"")</f>
        <v/>
      </c>
      <c r="BT3">
        <f>IF(BT2=3,INDEX('ข้อมูลโรงเรียน'!$B$22:$B$61,MATCH(BT1,'ข้อมูลโรงเรียน'!$Z$22:$Z$61,0)),"")</f>
        <v/>
      </c>
      <c r="BU3">
        <f>IF(BU2=3,INDEX('ข้อมูลโรงเรียน'!$B$22:$B$61,MATCH(BU1,'ข้อมูลโรงเรียน'!$Z$22:$Z$61,0)),"")</f>
        <v/>
      </c>
      <c r="BV3">
        <f>IF(BV2=3,INDEX('ข้อมูลโรงเรียน'!$B$22:$B$61,MATCH(BV1,'ข้อมูลโรงเรียน'!$Z$22:$Z$61,0)),"")</f>
        <v/>
      </c>
      <c r="BW3">
        <f>IF(BW2=3,INDEX('ข้อมูลโรงเรียน'!$B$22:$B$61,MATCH(BW1,'ข้อมูลโรงเรียน'!$Z$22:$Z$61,0)),"")</f>
        <v/>
      </c>
      <c r="BX3">
        <f>IF(BX2=3,INDEX('ข้อมูลโรงเรียน'!$B$22:$B$61,MATCH(BX1,'ข้อมูลโรงเรียน'!$Z$22:$Z$61,0)),"")</f>
        <v/>
      </c>
      <c r="BY3">
        <f>IF(BY2=3,INDEX('ข้อมูลโรงเรียน'!$B$22:$B$61,MATCH(BY1,'ข้อมูลโรงเรียน'!$Z$22:$Z$61,0)),"")</f>
        <v/>
      </c>
      <c r="BZ3">
        <f>IF(BZ2=3,INDEX('ข้อมูลโรงเรียน'!$B$22:$B$61,MATCH(BZ1,'ข้อมูลโรงเรียน'!$Z$22:$Z$61,0)),"")</f>
        <v/>
      </c>
      <c r="CA3">
        <f>IF(CA2=3,INDEX('ข้อมูลโรงเรียน'!$B$22:$B$61,MATCH(CA1,'ข้อมูลโรงเรียน'!$Z$22:$Z$61,0)),"")</f>
        <v/>
      </c>
      <c r="CB3">
        <f>IF(CB2=3,INDEX('ข้อมูลโรงเรียน'!$B$22:$B$61,MATCH(CB1,'ข้อมูลโรงเรียน'!$Z$22:$Z$61,0)),"")</f>
        <v/>
      </c>
      <c r="CC3">
        <f>IF(CC2=3,INDEX('ข้อมูลโรงเรียน'!$B$22:$B$61,MATCH(CC1,'ข้อมูลโรงเรียน'!$Z$22:$Z$61,0)),"")</f>
        <v/>
      </c>
      <c r="CD3">
        <f>IF(CD2=3,INDEX('ข้อมูลโรงเรียน'!$B$22:$B$61,MATCH(CD1,'ข้อมูลโรงเรียน'!$Z$22:$Z$61,0)),"")</f>
        <v/>
      </c>
      <c r="CE3">
        <f>IF(CE2=3,INDEX('ข้อมูลโรงเรียน'!$B$22:$B$61,MATCH(CE1,'ข้อมูลโรงเรียน'!$Z$22:$Z$61,0)),"")</f>
        <v/>
      </c>
      <c r="CF3">
        <f>IF(CF2=3,INDEX('ข้อมูลโรงเรียน'!$B$22:$B$61,MATCH(CF1,'ข้อมูลโรงเรียน'!$Z$22:$Z$61,0)),"")</f>
        <v/>
      </c>
      <c r="CG3">
        <f>IF(CG2=3,INDEX('ข้อมูลโรงเรียน'!$B$22:$B$61,MATCH(CG1,'ข้อมูลโรงเรียน'!$Z$22:$Z$61,0)),"")</f>
        <v/>
      </c>
      <c r="CH3">
        <f>IF(CH2=3,INDEX('ข้อมูลโรงเรียน'!$B$22:$B$61,MATCH(CH1,'ข้อมูลโรงเรียน'!$Z$22:$Z$61,0)),"")</f>
        <v/>
      </c>
      <c r="CI3">
        <f>IF(CI2=3,INDEX('ข้อมูลโรงเรียน'!$B$22:$B$61,MATCH(CI1,'ข้อมูลโรงเรียน'!$Z$22:$Z$61,0)),"")</f>
        <v/>
      </c>
      <c r="CJ3">
        <f>IF(CJ2=3,INDEX('ข้อมูลโรงเรียน'!$B$22:$B$61,MATCH(CJ1,'ข้อมูลโรงเรียน'!$Z$22:$Z$61,0)),"")</f>
        <v/>
      </c>
      <c r="CK3">
        <f>IF(CK2=3,INDEX('ข้อมูลโรงเรียน'!$B$22:$B$61,MATCH(CK1,'ข้อมูลโรงเรียน'!$Z$22:$Z$61,0)),"")</f>
        <v/>
      </c>
      <c r="CL3">
        <f>IF(CL2=3,INDEX('ข้อมูลโรงเรียน'!$B$22:$B$61,MATCH(CL1,'ข้อมูลโรงเรียน'!$Z$22:$Z$61,0)),"")</f>
        <v/>
      </c>
      <c r="CM3">
        <f>IF(CM2=3,INDEX('ข้อมูลโรงเรียน'!$B$22:$B$61,MATCH(CM1,'ข้อมูลโรงเรียน'!$Z$22:$Z$61,0)),"")</f>
        <v/>
      </c>
      <c r="CN3">
        <f>IF(CN2=3,INDEX('ข้อมูลโรงเรียน'!$B$22:$B$61,MATCH(CN1,'ข้อมูลโรงเรียน'!$Z$22:$Z$61,0)),"")</f>
        <v/>
      </c>
      <c r="CO3">
        <f>IF(CO2=3,INDEX('ข้อมูลโรงเรียน'!$B$22:$B$61,MATCH(CO1,'ข้อมูลโรงเรียน'!$Z$22:$Z$61,0)),"")</f>
        <v/>
      </c>
      <c r="CP3">
        <f>IF(CP2=3,INDEX('ข้อมูลโรงเรียน'!$B$22:$B$61,MATCH(CP1,'ข้อมูลโรงเรียน'!$Z$22:$Z$61,0)),"")</f>
        <v/>
      </c>
      <c r="CQ3">
        <f>IF(CQ2=3,INDEX('ข้อมูลโรงเรียน'!$B$22:$B$61,MATCH(CQ1,'ข้อมูลโรงเรียน'!$Z$22:$Z$61,0)),"")</f>
        <v/>
      </c>
      <c r="CR3">
        <f>IF(CR2=3,INDEX('ข้อมูลโรงเรียน'!$B$22:$B$61,MATCH(CR1,'ข้อมูลโรงเรียน'!$Z$22:$Z$61,0)),"")</f>
        <v/>
      </c>
      <c r="CS3">
        <f>IF(CS2=3,INDEX('ข้อมูลโรงเรียน'!$B$22:$B$61,MATCH(CS1,'ข้อมูลโรงเรียน'!$Z$22:$Z$61,0)),"")</f>
        <v/>
      </c>
      <c r="CT3">
        <f>IF(CT2=3,INDEX('ข้อมูลโรงเรียน'!$B$22:$B$61,MATCH(CT1,'ข้อมูลโรงเรียน'!$Z$22:$Z$61,0)),"")</f>
        <v/>
      </c>
      <c r="CU3">
        <f>IF(CU2=3,INDEX('ข้อมูลโรงเรียน'!$B$22:$B$61,MATCH(CU1,'ข้อมูลโรงเรียน'!$Z$22:$Z$61,0)),"")</f>
        <v/>
      </c>
      <c r="CV3">
        <f>IF(CV2=3,INDEX('ข้อมูลโรงเรียน'!$B$22:$B$61,MATCH(CV1,'ข้อมูลโรงเรียน'!$Z$22:$Z$61,0)),"")</f>
        <v/>
      </c>
      <c r="CW3">
        <f>IF(CW2=3,INDEX('ข้อมูลโรงเรียน'!$B$22:$B$61,MATCH(CW1,'ข้อมูลโรงเรียน'!$Z$22:$Z$61,0)),"")</f>
        <v/>
      </c>
      <c r="CX3">
        <f>IF(CX2=3,INDEX('ข้อมูลโรงเรียน'!$B$22:$B$61,MATCH(CX1,'ข้อมูลโรงเรียน'!$Z$22:$Z$61,0)),"")</f>
        <v/>
      </c>
      <c r="DB3">
        <f>IF(DB2=3,INDEX('ข้อมูลโรงเรียน'!$B$22:$B$61,MATCH(DB1,'ข้อมูลโรงเรียน'!$Z$22:$Z$61,0)),"")</f>
        <v/>
      </c>
      <c r="DC3">
        <f>IF(DC2=3,INDEX('ข้อมูลโรงเรียน'!$B$22:$B$61,MATCH(DC1,'ข้อมูลโรงเรียน'!$Z$22:$Z$61,0)),"")</f>
        <v/>
      </c>
      <c r="DD3">
        <f>IF(DD2=3,INDEX('ข้อมูลโรงเรียน'!$B$22:$B$61,MATCH(DD1,'ข้อมูลโรงเรียน'!$Z$22:$Z$61,0)),"")</f>
        <v/>
      </c>
      <c r="DE3">
        <f>IF(DE2=3,INDEX('ข้อมูลโรงเรียน'!$B$22:$B$61,MATCH(DE1,'ข้อมูลโรงเรียน'!$Z$22:$Z$61,0)),"")</f>
        <v/>
      </c>
      <c r="DF3">
        <f>IF(DF2=3,INDEX('ข้อมูลโรงเรียน'!$B$22:$B$61,MATCH(DF1,'ข้อมูลโรงเรียน'!$Z$22:$Z$61,0)),"")</f>
        <v/>
      </c>
      <c r="DG3">
        <f>IF(DG2=3,INDEX('ข้อมูลโรงเรียน'!$B$22:$B$61,MATCH(DG1,'ข้อมูลโรงเรียน'!$Z$22:$Z$61,0)),"")</f>
        <v/>
      </c>
      <c r="DH3">
        <f>IF(DH2=3,INDEX('ข้อมูลโรงเรียน'!$B$22:$B$61,MATCH(DH1,'ข้อมูลโรงเรียน'!$Z$22:$Z$61,0)),"")</f>
        <v/>
      </c>
      <c r="DI3">
        <f>IF(DI2=3,INDEX('ข้อมูลโรงเรียน'!$B$22:$B$61,MATCH(DI1,'ข้อมูลโรงเรียน'!$Z$22:$Z$61,0)),"")</f>
        <v/>
      </c>
      <c r="DJ3">
        <f>IF(DJ2=3,INDEX('ข้อมูลโรงเรียน'!$B$22:$B$61,MATCH(DJ1,'ข้อมูลโรงเรียน'!$Z$22:$Z$61,0)),"")</f>
        <v/>
      </c>
      <c r="DK3">
        <f>IF(DK2=3,INDEX('ข้อมูลโรงเรียน'!$B$22:$B$61,MATCH(DK1,'ข้อมูลโรงเรียน'!$Z$22:$Z$61,0)),"")</f>
        <v/>
      </c>
      <c r="DL3">
        <f>IF(DL2=3,INDEX('ข้อมูลโรงเรียน'!$B$22:$B$61,MATCH(DL1,'ข้อมูลโรงเรียน'!$Z$22:$Z$61,0)),"")</f>
        <v/>
      </c>
      <c r="DM3">
        <f>IF(DM2=3,INDEX('ข้อมูลโรงเรียน'!$B$22:$B$61,MATCH(DM1,'ข้อมูลโรงเรียน'!$Z$22:$Z$61,0)),"")</f>
        <v/>
      </c>
      <c r="DN3">
        <f>IF(DN2=3,INDEX('ข้อมูลโรงเรียน'!$B$22:$B$61,MATCH(DN1,'ข้อมูลโรงเรียน'!$Z$22:$Z$61,0)),"")</f>
        <v/>
      </c>
      <c r="DO3">
        <f>IF(DO2=3,INDEX('ข้อมูลโรงเรียน'!$B$22:$B$61,MATCH(DO1,'ข้อมูลโรงเรียน'!$Z$22:$Z$61,0)),"")</f>
        <v/>
      </c>
      <c r="DP3">
        <f>IF(DP2=3,INDEX('ข้อมูลโรงเรียน'!$B$22:$B$61,MATCH(DP1,'ข้อมูลโรงเรียน'!$Z$22:$Z$61,0)),"")</f>
        <v/>
      </c>
      <c r="DQ3">
        <f>IF(DQ2=3,INDEX('ข้อมูลโรงเรียน'!$B$22:$B$61,MATCH(DQ1,'ข้อมูลโรงเรียน'!$Z$22:$Z$61,0)),"")</f>
        <v/>
      </c>
      <c r="DR3">
        <f>IF(DR2=3,INDEX('ข้อมูลโรงเรียน'!$B$22:$B$61,MATCH(DR1,'ข้อมูลโรงเรียน'!$Z$22:$Z$61,0)),"")</f>
        <v/>
      </c>
      <c r="DS3">
        <f>IF(DS2=3,INDEX('ข้อมูลโรงเรียน'!$B$22:$B$61,MATCH(DS1,'ข้อมูลโรงเรียน'!$Z$22:$Z$61,0)),"")</f>
        <v/>
      </c>
      <c r="DT3">
        <f>IF(DT2=3,INDEX('ข้อมูลโรงเรียน'!$B$22:$B$61,MATCH(DT1,'ข้อมูลโรงเรียน'!$Z$22:$Z$61,0)),"")</f>
        <v/>
      </c>
      <c r="DU3">
        <f>IF(DU2=3,INDEX('ข้อมูลโรงเรียน'!$B$22:$B$61,MATCH(DU1,'ข้อมูลโรงเรียน'!$Z$22:$Z$61,0)),"")</f>
        <v/>
      </c>
      <c r="DV3">
        <f>IF(DV2=3,INDEX('ข้อมูลโรงเรียน'!$B$22:$B$61,MATCH(DV1,'ข้อมูลโรงเรียน'!$Z$22:$Z$61,0)),"")</f>
        <v/>
      </c>
      <c r="DW3">
        <f>IF(DW2=3,INDEX('ข้อมูลโรงเรียน'!$B$22:$B$61,MATCH(DW1,'ข้อมูลโรงเรียน'!$Z$22:$Z$61,0)),"")</f>
        <v/>
      </c>
      <c r="DX3">
        <f>IF(DX2=3,INDEX('ข้อมูลโรงเรียน'!$B$22:$B$61,MATCH(DX1,'ข้อมูลโรงเรียน'!$Z$22:$Z$61,0)),"")</f>
        <v/>
      </c>
      <c r="DY3">
        <f>IF(DY2=3,INDEX('ข้อมูลโรงเรียน'!$B$22:$B$61,MATCH(DY1,'ข้อมูลโรงเรียน'!$Z$22:$Z$61,0)),"")</f>
        <v/>
      </c>
      <c r="DZ3">
        <f>IF(DZ2=3,INDEX('ข้อมูลโรงเรียน'!$B$22:$B$61,MATCH(DZ1,'ข้อมูลโรงเรียน'!$Z$22:$Z$61,0)),"")</f>
        <v/>
      </c>
      <c r="EA3">
        <f>IF(EA2=3,INDEX('ข้อมูลโรงเรียน'!$B$22:$B$61,MATCH(EA1,'ข้อมูลโรงเรียน'!$Z$22:$Z$61,0)),"")</f>
        <v/>
      </c>
      <c r="EB3">
        <f>IF(EB2=3,INDEX('ข้อมูลโรงเรียน'!$B$22:$B$61,MATCH(EB1,'ข้อมูลโรงเรียน'!$Z$22:$Z$61,0)),"")</f>
        <v/>
      </c>
      <c r="EC3">
        <f>IF(EC2=3,INDEX('ข้อมูลโรงเรียน'!$B$22:$B$61,MATCH(EC1,'ข้อมูลโรงเรียน'!$Z$22:$Z$61,0)),"")</f>
        <v/>
      </c>
      <c r="ED3">
        <f>IF(ED2=3,INDEX('ข้อมูลโรงเรียน'!$B$22:$B$61,MATCH(ED1,'ข้อมูลโรงเรียน'!$Z$22:$Z$61,0)),"")</f>
        <v/>
      </c>
      <c r="EE3">
        <f>IF(EE2=3,INDEX('ข้อมูลโรงเรียน'!$B$22:$B$61,MATCH(EE1,'ข้อมูลโรงเรียน'!$Z$22:$Z$61,0)),"")</f>
        <v/>
      </c>
      <c r="EF3">
        <f>IF(EF2=3,INDEX('ข้อมูลโรงเรียน'!$B$22:$B$61,MATCH(EF1,'ข้อมูลโรงเรียน'!$Z$22:$Z$61,0)),"")</f>
        <v/>
      </c>
      <c r="EJ3">
        <f>IF(EJ2=3,INDEX('ข้อมูลโรงเรียน'!$B$22:$B$61,MATCH(EJ1,'ข้อมูลโรงเรียน'!$Z$22:$Z$61,0)),"")</f>
        <v/>
      </c>
      <c r="EK3">
        <f>IF(EK2=3,INDEX('ข้อมูลโรงเรียน'!$B$22:$B$61,MATCH(EK1,'ข้อมูลโรงเรียน'!$Z$22:$Z$61,0)),"")</f>
        <v/>
      </c>
      <c r="EL3">
        <f>IF(EL2=3,INDEX('ข้อมูลโรงเรียน'!$B$22:$B$61,MATCH(EL1,'ข้อมูลโรงเรียน'!$Z$22:$Z$61,0)),"")</f>
        <v/>
      </c>
      <c r="EM3">
        <f>IF(EM2=3,INDEX('ข้อมูลโรงเรียน'!$B$22:$B$61,MATCH(EM1,'ข้อมูลโรงเรียน'!$Z$22:$Z$61,0)),"")</f>
        <v/>
      </c>
      <c r="EN3">
        <f>IF(EN2=3,INDEX('ข้อมูลโรงเรียน'!$B$22:$B$61,MATCH(EN1,'ข้อมูลโรงเรียน'!$Z$22:$Z$61,0)),"")</f>
        <v/>
      </c>
      <c r="EO3">
        <f>IF(EO2=3,INDEX('ข้อมูลโรงเรียน'!$B$22:$B$61,MATCH(EO1,'ข้อมูลโรงเรียน'!$Z$22:$Z$61,0)),"")</f>
        <v/>
      </c>
      <c r="EP3">
        <f>IF(EP2=3,INDEX('ข้อมูลโรงเรียน'!$B$22:$B$61,MATCH(EP1,'ข้อมูลโรงเรียน'!$Z$22:$Z$61,0)),"")</f>
        <v/>
      </c>
      <c r="EQ3">
        <f>IF(EQ2=3,INDEX('ข้อมูลโรงเรียน'!$B$22:$B$61,MATCH(EQ1,'ข้อมูลโรงเรียน'!$Z$22:$Z$61,0)),"")</f>
        <v/>
      </c>
      <c r="ER3">
        <f>IF(ER2=3,INDEX('ข้อมูลโรงเรียน'!$B$22:$B$61,MATCH(ER1,'ข้อมูลโรงเรียน'!$Z$22:$Z$61,0)),"")</f>
        <v/>
      </c>
      <c r="ES3">
        <f>IF(ES2=3,INDEX('ข้อมูลโรงเรียน'!$B$22:$B$61,MATCH(ES1,'ข้อมูลโรงเรียน'!$Z$22:$Z$61,0)),"")</f>
        <v/>
      </c>
      <c r="ET3">
        <f>IF(ET2=3,INDEX('ข้อมูลโรงเรียน'!$B$22:$B$61,MATCH(ET1,'ข้อมูลโรงเรียน'!$Z$22:$Z$61,0)),"")</f>
        <v/>
      </c>
      <c r="EU3">
        <f>IF(EU2=3,INDEX('ข้อมูลโรงเรียน'!$B$22:$B$61,MATCH(EU1,'ข้อมูลโรงเรียน'!$Z$22:$Z$61,0)),"")</f>
        <v/>
      </c>
      <c r="EV3">
        <f>IF(EV2=3,INDEX('ข้อมูลโรงเรียน'!$B$22:$B$61,MATCH(EV1,'ข้อมูลโรงเรียน'!$Z$22:$Z$61,0)),"")</f>
        <v/>
      </c>
      <c r="EW3">
        <f>IF(EW2=3,INDEX('ข้อมูลโรงเรียน'!$B$22:$B$61,MATCH(EW1,'ข้อมูลโรงเรียน'!$Z$22:$Z$61,0)),"")</f>
        <v/>
      </c>
      <c r="EX3">
        <f>IF(EX2=3,INDEX('ข้อมูลโรงเรียน'!$B$22:$B$61,MATCH(EX1,'ข้อมูลโรงเรียน'!$Z$22:$Z$61,0)),"")</f>
        <v/>
      </c>
      <c r="EY3">
        <f>IF(EY2=3,INDEX('ข้อมูลโรงเรียน'!$B$22:$B$61,MATCH(EY1,'ข้อมูลโรงเรียน'!$Z$22:$Z$61,0)),"")</f>
        <v/>
      </c>
      <c r="EZ3">
        <f>IF(EZ2=3,INDEX('ข้อมูลโรงเรียน'!$B$22:$B$61,MATCH(EZ1,'ข้อมูลโรงเรียน'!$Z$22:$Z$61,0)),"")</f>
        <v/>
      </c>
      <c r="FA3">
        <f>IF(FA2=3,INDEX('ข้อมูลโรงเรียน'!$B$22:$B$61,MATCH(FA1,'ข้อมูลโรงเรียน'!$Z$22:$Z$61,0)),"")</f>
        <v/>
      </c>
      <c r="FB3">
        <f>IF(FB2=3,INDEX('ข้อมูลโรงเรียน'!$B$22:$B$61,MATCH(FB1,'ข้อมูลโรงเรียน'!$Z$22:$Z$61,0)),"")</f>
        <v/>
      </c>
      <c r="FC3">
        <f>IF(FC2=3,INDEX('ข้อมูลโรงเรียน'!$B$22:$B$61,MATCH(FC1,'ข้อมูลโรงเรียน'!$Z$22:$Z$61,0)),"")</f>
        <v/>
      </c>
      <c r="FD3">
        <f>IF(FD2=3,INDEX('ข้อมูลโรงเรียน'!$B$22:$B$61,MATCH(FD1,'ข้อมูลโรงเรียน'!$Z$22:$Z$61,0)),"")</f>
        <v/>
      </c>
      <c r="FE3">
        <f>IF(FE2=3,INDEX('ข้อมูลโรงเรียน'!$B$22:$B$61,MATCH(FE1,'ข้อมูลโรงเรียน'!$Z$22:$Z$61,0)),"")</f>
        <v/>
      </c>
      <c r="FF3">
        <f>IF(FF2=3,INDEX('ข้อมูลโรงเรียน'!$B$22:$B$61,MATCH(FF1,'ข้อมูลโรงเรียน'!$Z$22:$Z$61,0)),"")</f>
        <v/>
      </c>
      <c r="FG3">
        <f>IF(FG2=3,INDEX('ข้อมูลโรงเรียน'!$B$22:$B$61,MATCH(FG1,'ข้อมูลโรงเรียน'!$Z$22:$Z$61,0)),"")</f>
        <v/>
      </c>
      <c r="FH3">
        <f>IF(FH2=3,INDEX('ข้อมูลโรงเรียน'!$B$22:$B$61,MATCH(FH1,'ข้อมูลโรงเรียน'!$Z$22:$Z$61,0)),"")</f>
        <v/>
      </c>
      <c r="FI3">
        <f>IF(FI2=3,INDEX('ข้อมูลโรงเรียน'!$B$22:$B$61,MATCH(FI1,'ข้อมูลโรงเรียน'!$Z$22:$Z$61,0)),"")</f>
        <v/>
      </c>
      <c r="FJ3">
        <f>IF(FJ2=3,INDEX('ข้อมูลโรงเรียน'!$B$22:$B$61,MATCH(FJ1,'ข้อมูลโรงเรียน'!$Z$22:$Z$61,0)),"")</f>
        <v/>
      </c>
      <c r="FK3">
        <f>IF(FK2=3,INDEX('ข้อมูลโรงเรียน'!$B$22:$B$61,MATCH(FK1,'ข้อมูลโรงเรียน'!$Z$22:$Z$61,0)),"")</f>
        <v/>
      </c>
      <c r="FL3">
        <f>IF(FL2=3,INDEX('ข้อมูลโรงเรียน'!$B$22:$B$61,MATCH(FL1,'ข้อมูลโรงเรียน'!$Z$22:$Z$61,0)),"")</f>
        <v/>
      </c>
      <c r="FM3">
        <f>IF(FM2=3,INDEX('ข้อมูลโรงเรียน'!$B$22:$B$61,MATCH(FM1,'ข้อมูลโรงเรียน'!$Z$22:$Z$61,0)),"")</f>
        <v/>
      </c>
      <c r="FN3">
        <f>IF(FN2=3,INDEX('ข้อมูลโรงเรียน'!$B$22:$B$61,MATCH(FN1,'ข้อมูลโรงเรียน'!$Z$22:$Z$61,0)),"")</f>
        <v/>
      </c>
      <c r="FR3">
        <f>IF(FR2=3,INDEX('ข้อมูลโรงเรียน'!$B$22:$B$61,MATCH(FR1,'ข้อมูลโรงเรียน'!$Z$22:$Z$61,0)),"")</f>
        <v/>
      </c>
      <c r="FS3">
        <f>IF(FS2=3,INDEX('ข้อมูลโรงเรียน'!$B$22:$B$61,MATCH(FS1,'ข้อมูลโรงเรียน'!$Z$22:$Z$61,0)),"")</f>
        <v/>
      </c>
      <c r="FT3">
        <f>IF(FT2=3,INDEX('ข้อมูลโรงเรียน'!$B$22:$B$61,MATCH(FT1,'ข้อมูลโรงเรียน'!$Z$22:$Z$61,0)),"")</f>
        <v/>
      </c>
      <c r="FU3">
        <f>IF(FU2=3,INDEX('ข้อมูลโรงเรียน'!$B$22:$B$61,MATCH(FU1,'ข้อมูลโรงเรียน'!$Z$22:$Z$61,0)),"")</f>
        <v/>
      </c>
      <c r="FV3">
        <f>IF(FV2=3,INDEX('ข้อมูลโรงเรียน'!$B$22:$B$61,MATCH(FV1,'ข้อมูลโรงเรียน'!$Z$22:$Z$61,0)),"")</f>
        <v/>
      </c>
      <c r="FW3">
        <f>IF(FW2=3,INDEX('ข้อมูลโรงเรียน'!$B$22:$B$61,MATCH(FW1,'ข้อมูลโรงเรียน'!$Z$22:$Z$61,0)),"")</f>
        <v/>
      </c>
      <c r="FX3">
        <f>IF(FX2=3,INDEX('ข้อมูลโรงเรียน'!$B$22:$B$61,MATCH(FX1,'ข้อมูลโรงเรียน'!$Z$22:$Z$61,0)),"")</f>
        <v/>
      </c>
      <c r="FY3">
        <f>IF(FY2=3,INDEX('ข้อมูลโรงเรียน'!$B$22:$B$61,MATCH(FY1,'ข้อมูลโรงเรียน'!$Z$22:$Z$61,0)),"")</f>
        <v/>
      </c>
      <c r="FZ3">
        <f>IF(FZ2=3,INDEX('ข้อมูลโรงเรียน'!$B$22:$B$61,MATCH(FZ1,'ข้อมูลโรงเรียน'!$Z$22:$Z$61,0)),"")</f>
        <v/>
      </c>
      <c r="GA3">
        <f>IF(GA2=3,INDEX('ข้อมูลโรงเรียน'!$B$22:$B$61,MATCH(GA1,'ข้อมูลโรงเรียน'!$Z$22:$Z$61,0)),"")</f>
        <v/>
      </c>
      <c r="GB3">
        <f>IF(GB2=3,INDEX('ข้อมูลโรงเรียน'!$B$22:$B$61,MATCH(GB1,'ข้อมูลโรงเรียน'!$Z$22:$Z$61,0)),"")</f>
        <v/>
      </c>
      <c r="GC3">
        <f>IF(GC2=3,INDEX('ข้อมูลโรงเรียน'!$B$22:$B$61,MATCH(GC1,'ข้อมูลโรงเรียน'!$Z$22:$Z$61,0)),"")</f>
        <v/>
      </c>
      <c r="GD3">
        <f>IF(GD2=3,INDEX('ข้อมูลโรงเรียน'!$B$22:$B$61,MATCH(GD1,'ข้อมูลโรงเรียน'!$Z$22:$Z$61,0)),"")</f>
        <v/>
      </c>
      <c r="GE3">
        <f>IF(GE2=3,INDEX('ข้อมูลโรงเรียน'!$B$22:$B$61,MATCH(GE1,'ข้อมูลโรงเรียน'!$Z$22:$Z$61,0)),"")</f>
        <v/>
      </c>
      <c r="GF3">
        <f>IF(GF2=3,INDEX('ข้อมูลโรงเรียน'!$B$22:$B$61,MATCH(GF1,'ข้อมูลโรงเรียน'!$Z$22:$Z$61,0)),"")</f>
        <v/>
      </c>
      <c r="GG3">
        <f>IF(GG2=3,INDEX('ข้อมูลโรงเรียน'!$B$22:$B$61,MATCH(GG1,'ข้อมูลโรงเรียน'!$Z$22:$Z$61,0)),"")</f>
        <v/>
      </c>
      <c r="GH3">
        <f>IF(GH2=3,INDEX('ข้อมูลโรงเรียน'!$B$22:$B$61,MATCH(GH1,'ข้อมูลโรงเรียน'!$Z$22:$Z$61,0)),"")</f>
        <v/>
      </c>
      <c r="GI3">
        <f>IF(GI2=3,INDEX('ข้อมูลโรงเรียน'!$B$22:$B$61,MATCH(GI1,'ข้อมูลโรงเรียน'!$Z$22:$Z$61,0)),"")</f>
        <v/>
      </c>
      <c r="GJ3">
        <f>IF(GJ2=3,INDEX('ข้อมูลโรงเรียน'!$B$22:$B$61,MATCH(GJ1,'ข้อมูลโรงเรียน'!$Z$22:$Z$61,0)),"")</f>
        <v/>
      </c>
      <c r="GK3">
        <f>IF(GK2=3,INDEX('ข้อมูลโรงเรียน'!$B$22:$B$61,MATCH(GK1,'ข้อมูลโรงเรียน'!$Z$22:$Z$61,0)),"")</f>
        <v/>
      </c>
      <c r="GL3">
        <f>IF(GL2=3,INDEX('ข้อมูลโรงเรียน'!$B$22:$B$61,MATCH(GL1,'ข้อมูลโรงเรียน'!$Z$22:$Z$61,0)),"")</f>
        <v/>
      </c>
      <c r="GM3">
        <f>IF(GM2=3,INDEX('ข้อมูลโรงเรียน'!$B$22:$B$61,MATCH(GM1,'ข้อมูลโรงเรียน'!$Z$22:$Z$61,0)),"")</f>
        <v/>
      </c>
      <c r="GN3">
        <f>IF(GN2=3,INDEX('ข้อมูลโรงเรียน'!$B$22:$B$61,MATCH(GN1,'ข้อมูลโรงเรียน'!$Z$22:$Z$61,0)),"")</f>
        <v/>
      </c>
      <c r="GO3">
        <f>IF(GO2=3,INDEX('ข้อมูลโรงเรียน'!$B$22:$B$61,MATCH(GO1,'ข้อมูลโรงเรียน'!$Z$22:$Z$61,0)),"")</f>
        <v/>
      </c>
      <c r="GP3">
        <f>IF(GP2=3,INDEX('ข้อมูลโรงเรียน'!$B$22:$B$61,MATCH(GP1,'ข้อมูลโรงเรียน'!$Z$22:$Z$61,0)),"")</f>
        <v/>
      </c>
      <c r="GQ3">
        <f>IF(GQ2=3,INDEX('ข้อมูลโรงเรียน'!$B$22:$B$61,MATCH(GQ1,'ข้อมูลโรงเรียน'!$Z$22:$Z$61,0)),"")</f>
        <v/>
      </c>
      <c r="GR3">
        <f>IF(GR2=3,INDEX('ข้อมูลโรงเรียน'!$B$22:$B$61,MATCH(GR1,'ข้อมูลโรงเรียน'!$Z$22:$Z$61,0)),"")</f>
        <v/>
      </c>
      <c r="GS3">
        <f>IF(GS2=3,INDEX('ข้อมูลโรงเรียน'!$B$22:$B$61,MATCH(GS1,'ข้อมูลโรงเรียน'!$Z$22:$Z$61,0)),"")</f>
        <v/>
      </c>
      <c r="GT3">
        <f>IF(GT2=3,INDEX('ข้อมูลโรงเรียน'!$B$22:$B$61,MATCH(GT1,'ข้อมูลโรงเรียน'!$Z$22:$Z$61,0)),"")</f>
        <v/>
      </c>
      <c r="GU3">
        <f>IF(GU2=3,INDEX('ข้อมูลโรงเรียน'!$B$22:$B$61,MATCH(GU1,'ข้อมูลโรงเรียน'!$Z$22:$Z$61,0)),"")</f>
        <v/>
      </c>
      <c r="GV3">
        <f>IF(GV2=3,INDEX('ข้อมูลโรงเรียน'!$B$22:$B$61,MATCH(GV1,'ข้อมูลโรงเรียน'!$Z$22:$Z$61,0)),"")</f>
        <v/>
      </c>
    </row>
    <row r="4"/>
    <row r="5">
      <c r="A5" t="inlineStr">
        <is>
          <t>ภ2 วันที่</t>
        </is>
      </c>
      <c r="D5" s="1148">
        <f>IF(1&gt;DAY(EOMONTH(DATE('ข้อมูลโรงเรียน'!$C$12-543,11,1),0)),"",DATE('ข้อมูลโรงเรียน'!$C$12-543,11,1))</f>
        <v/>
      </c>
      <c r="E5" s="1148">
        <f>IF(2&gt;DAY(EOMONTH(DATE('ข้อมูลโรงเรียน'!$C$12-543,11,1),0)),"",DATE('ข้อมูลโรงเรียน'!$C$12-543,11,2))</f>
        <v/>
      </c>
      <c r="F5" s="1148">
        <f>IF(3&gt;DAY(EOMONTH(DATE('ข้อมูลโรงเรียน'!$C$12-543,11,1),0)),"",DATE('ข้อมูลโรงเรียน'!$C$12-543,11,3))</f>
        <v/>
      </c>
      <c r="G5" s="1148">
        <f>IF(4&gt;DAY(EOMONTH(DATE('ข้อมูลโรงเรียน'!$C$12-543,11,1),0)),"",DATE('ข้อมูลโรงเรียน'!$C$12-543,11,4))</f>
        <v/>
      </c>
      <c r="H5" s="1148">
        <f>IF(5&gt;DAY(EOMONTH(DATE('ข้อมูลโรงเรียน'!$C$12-543,11,1),0)),"",DATE('ข้อมูลโรงเรียน'!$C$12-543,11,5))</f>
        <v/>
      </c>
      <c r="I5" s="1148">
        <f>IF(6&gt;DAY(EOMONTH(DATE('ข้อมูลโรงเรียน'!$C$12-543,11,1),0)),"",DATE('ข้อมูลโรงเรียน'!$C$12-543,11,6))</f>
        <v/>
      </c>
      <c r="J5" s="1148">
        <f>IF(7&gt;DAY(EOMONTH(DATE('ข้อมูลโรงเรียน'!$C$12-543,11,1),0)),"",DATE('ข้อมูลโรงเรียน'!$C$12-543,11,7))</f>
        <v/>
      </c>
      <c r="K5" s="1148">
        <f>IF(8&gt;DAY(EOMONTH(DATE('ข้อมูลโรงเรียน'!$C$12-543,11,1),0)),"",DATE('ข้อมูลโรงเรียน'!$C$12-543,11,8))</f>
        <v/>
      </c>
      <c r="L5" s="1148">
        <f>IF(9&gt;DAY(EOMONTH(DATE('ข้อมูลโรงเรียน'!$C$12-543,11,1),0)),"",DATE('ข้อมูลโรงเรียน'!$C$12-543,11,9))</f>
        <v/>
      </c>
      <c r="M5" s="1148">
        <f>IF(10&gt;DAY(EOMONTH(DATE('ข้อมูลโรงเรียน'!$C$12-543,11,1),0)),"",DATE('ข้อมูลโรงเรียน'!$C$12-543,11,10))</f>
        <v/>
      </c>
      <c r="N5" s="1148">
        <f>IF(11&gt;DAY(EOMONTH(DATE('ข้อมูลโรงเรียน'!$C$12-543,11,1),0)),"",DATE('ข้อมูลโรงเรียน'!$C$12-543,11,11))</f>
        <v/>
      </c>
      <c r="O5" s="1148">
        <f>IF(12&gt;DAY(EOMONTH(DATE('ข้อมูลโรงเรียน'!$C$12-543,11,1),0)),"",DATE('ข้อมูลโรงเรียน'!$C$12-543,11,12))</f>
        <v/>
      </c>
      <c r="P5" s="1148">
        <f>IF(13&gt;DAY(EOMONTH(DATE('ข้อมูลโรงเรียน'!$C$12-543,11,1),0)),"",DATE('ข้อมูลโรงเรียน'!$C$12-543,11,13))</f>
        <v/>
      </c>
      <c r="Q5" s="1148">
        <f>IF(14&gt;DAY(EOMONTH(DATE('ข้อมูลโรงเรียน'!$C$12-543,11,1),0)),"",DATE('ข้อมูลโรงเรียน'!$C$12-543,11,14))</f>
        <v/>
      </c>
      <c r="R5" s="1148">
        <f>IF(15&gt;DAY(EOMONTH(DATE('ข้อมูลโรงเรียน'!$C$12-543,11,1),0)),"",DATE('ข้อมูลโรงเรียน'!$C$12-543,11,15))</f>
        <v/>
      </c>
      <c r="S5" s="1148">
        <f>IF(16&gt;DAY(EOMONTH(DATE('ข้อมูลโรงเรียน'!$C$12-543,11,1),0)),"",DATE('ข้อมูลโรงเรียน'!$C$12-543,11,16))</f>
        <v/>
      </c>
      <c r="T5" s="1148">
        <f>IF(17&gt;DAY(EOMONTH(DATE('ข้อมูลโรงเรียน'!$C$12-543,11,1),0)),"",DATE('ข้อมูลโรงเรียน'!$C$12-543,11,17))</f>
        <v/>
      </c>
      <c r="U5" s="1148">
        <f>IF(18&gt;DAY(EOMONTH(DATE('ข้อมูลโรงเรียน'!$C$12-543,11,1),0)),"",DATE('ข้อมูลโรงเรียน'!$C$12-543,11,18))</f>
        <v/>
      </c>
      <c r="V5" s="1148">
        <f>IF(19&gt;DAY(EOMONTH(DATE('ข้อมูลโรงเรียน'!$C$12-543,11,1),0)),"",DATE('ข้อมูลโรงเรียน'!$C$12-543,11,19))</f>
        <v/>
      </c>
      <c r="W5" s="1148">
        <f>IF(20&gt;DAY(EOMONTH(DATE('ข้อมูลโรงเรียน'!$C$12-543,11,1),0)),"",DATE('ข้อมูลโรงเรียน'!$C$12-543,11,20))</f>
        <v/>
      </c>
      <c r="X5" s="1148">
        <f>IF(21&gt;DAY(EOMONTH(DATE('ข้อมูลโรงเรียน'!$C$12-543,11,1),0)),"",DATE('ข้อมูลโรงเรียน'!$C$12-543,11,21))</f>
        <v/>
      </c>
      <c r="Y5" s="1148">
        <f>IF(22&gt;DAY(EOMONTH(DATE('ข้อมูลโรงเรียน'!$C$12-543,11,1),0)),"",DATE('ข้อมูลโรงเรียน'!$C$12-543,11,22))</f>
        <v/>
      </c>
      <c r="Z5" s="1148">
        <f>IF(23&gt;DAY(EOMONTH(DATE('ข้อมูลโรงเรียน'!$C$12-543,11,1),0)),"",DATE('ข้อมูลโรงเรียน'!$C$12-543,11,23))</f>
        <v/>
      </c>
      <c r="AA5" s="1148">
        <f>IF(24&gt;DAY(EOMONTH(DATE('ข้อมูลโรงเรียน'!$C$12-543,11,1),0)),"",DATE('ข้อมูลโรงเรียน'!$C$12-543,11,24))</f>
        <v/>
      </c>
      <c r="AB5" s="1148">
        <f>IF(25&gt;DAY(EOMONTH(DATE('ข้อมูลโรงเรียน'!$C$12-543,11,1),0)),"",DATE('ข้อมูลโรงเรียน'!$C$12-543,11,25))</f>
        <v/>
      </c>
      <c r="AC5" s="1148">
        <f>IF(26&gt;DAY(EOMONTH(DATE('ข้อมูลโรงเรียน'!$C$12-543,11,1),0)),"",DATE('ข้อมูลโรงเรียน'!$C$12-543,11,26))</f>
        <v/>
      </c>
      <c r="AD5" s="1148">
        <f>IF(27&gt;DAY(EOMONTH(DATE('ข้อมูลโรงเรียน'!$C$12-543,11,1),0)),"",DATE('ข้อมูลโรงเรียน'!$C$12-543,11,27))</f>
        <v/>
      </c>
      <c r="AE5" s="1148">
        <f>IF(28&gt;DAY(EOMONTH(DATE('ข้อมูลโรงเรียน'!$C$12-543,11,1),0)),"",DATE('ข้อมูลโรงเรียน'!$C$12-543,11,28))</f>
        <v/>
      </c>
      <c r="AF5" s="1148">
        <f>IF(29&gt;DAY(EOMONTH(DATE('ข้อมูลโรงเรียน'!$C$12-543,11,1),0)),"",DATE('ข้อมูลโรงเรียน'!$C$12-543,11,29))</f>
        <v/>
      </c>
      <c r="AG5" s="1148">
        <f>IF(30&gt;DAY(EOMONTH(DATE('ข้อมูลโรงเรียน'!$C$12-543,11,1),0)),"",DATE('ข้อมูลโรงเรียน'!$C$12-543,11,30))</f>
        <v/>
      </c>
      <c r="AH5" s="1148">
        <f>IF(31&gt;DAY(EOMONTH(DATE('ข้อมูลโรงเรียน'!$C$12-543,11,1),0)),"",DATE('ข้อมูลโรงเรียน'!$C$12-543,11,31))</f>
        <v/>
      </c>
      <c r="AL5" s="1148">
        <f>IF(1&gt;DAY(EOMONTH(DATE('ข้อมูลโรงเรียน'!$C$12-543,12,1),0)),"",DATE('ข้อมูลโรงเรียน'!$C$12-543,12,1))</f>
        <v/>
      </c>
      <c r="AM5" s="1148">
        <f>IF(2&gt;DAY(EOMONTH(DATE('ข้อมูลโรงเรียน'!$C$12-543,12,1),0)),"",DATE('ข้อมูลโรงเรียน'!$C$12-543,12,2))</f>
        <v/>
      </c>
      <c r="AN5" s="1148">
        <f>IF(3&gt;DAY(EOMONTH(DATE('ข้อมูลโรงเรียน'!$C$12-543,12,1),0)),"",DATE('ข้อมูลโรงเรียน'!$C$12-543,12,3))</f>
        <v/>
      </c>
      <c r="AO5" s="1148">
        <f>IF(4&gt;DAY(EOMONTH(DATE('ข้อมูลโรงเรียน'!$C$12-543,12,1),0)),"",DATE('ข้อมูลโรงเรียน'!$C$12-543,12,4))</f>
        <v/>
      </c>
      <c r="AP5" s="1148">
        <f>IF(5&gt;DAY(EOMONTH(DATE('ข้อมูลโรงเรียน'!$C$12-543,12,1),0)),"",DATE('ข้อมูลโรงเรียน'!$C$12-543,12,5))</f>
        <v/>
      </c>
      <c r="AQ5" s="1148">
        <f>IF(6&gt;DAY(EOMONTH(DATE('ข้อมูลโรงเรียน'!$C$12-543,12,1),0)),"",DATE('ข้อมูลโรงเรียน'!$C$12-543,12,6))</f>
        <v/>
      </c>
      <c r="AR5" s="1148">
        <f>IF(7&gt;DAY(EOMONTH(DATE('ข้อมูลโรงเรียน'!$C$12-543,12,1),0)),"",DATE('ข้อมูลโรงเรียน'!$C$12-543,12,7))</f>
        <v/>
      </c>
      <c r="AS5" s="1148">
        <f>IF(8&gt;DAY(EOMONTH(DATE('ข้อมูลโรงเรียน'!$C$12-543,12,1),0)),"",DATE('ข้อมูลโรงเรียน'!$C$12-543,12,8))</f>
        <v/>
      </c>
      <c r="AT5" s="1148">
        <f>IF(9&gt;DAY(EOMONTH(DATE('ข้อมูลโรงเรียน'!$C$12-543,12,1),0)),"",DATE('ข้อมูลโรงเรียน'!$C$12-543,12,9))</f>
        <v/>
      </c>
      <c r="AU5" s="1148">
        <f>IF(10&gt;DAY(EOMONTH(DATE('ข้อมูลโรงเรียน'!$C$12-543,12,1),0)),"",DATE('ข้อมูลโรงเรียน'!$C$12-543,12,10))</f>
        <v/>
      </c>
      <c r="AV5" s="1148">
        <f>IF(11&gt;DAY(EOMONTH(DATE('ข้อมูลโรงเรียน'!$C$12-543,12,1),0)),"",DATE('ข้อมูลโรงเรียน'!$C$12-543,12,11))</f>
        <v/>
      </c>
      <c r="AW5" s="1148">
        <f>IF(12&gt;DAY(EOMONTH(DATE('ข้อมูลโรงเรียน'!$C$12-543,12,1),0)),"",DATE('ข้อมูลโรงเรียน'!$C$12-543,12,12))</f>
        <v/>
      </c>
      <c r="AX5" s="1148">
        <f>IF(13&gt;DAY(EOMONTH(DATE('ข้อมูลโรงเรียน'!$C$12-543,12,1),0)),"",DATE('ข้อมูลโรงเรียน'!$C$12-543,12,13))</f>
        <v/>
      </c>
      <c r="AY5" s="1148">
        <f>IF(14&gt;DAY(EOMONTH(DATE('ข้อมูลโรงเรียน'!$C$12-543,12,1),0)),"",DATE('ข้อมูลโรงเรียน'!$C$12-543,12,14))</f>
        <v/>
      </c>
      <c r="AZ5" s="1148">
        <f>IF(15&gt;DAY(EOMONTH(DATE('ข้อมูลโรงเรียน'!$C$12-543,12,1),0)),"",DATE('ข้อมูลโรงเรียน'!$C$12-543,12,15))</f>
        <v/>
      </c>
      <c r="BA5" s="1148">
        <f>IF(16&gt;DAY(EOMONTH(DATE('ข้อมูลโรงเรียน'!$C$12-543,12,1),0)),"",DATE('ข้อมูลโรงเรียน'!$C$12-543,12,16))</f>
        <v/>
      </c>
      <c r="BB5" s="1148">
        <f>IF(17&gt;DAY(EOMONTH(DATE('ข้อมูลโรงเรียน'!$C$12-543,12,1),0)),"",DATE('ข้อมูลโรงเรียน'!$C$12-543,12,17))</f>
        <v/>
      </c>
      <c r="BC5" s="1148">
        <f>IF(18&gt;DAY(EOMONTH(DATE('ข้อมูลโรงเรียน'!$C$12-543,12,1),0)),"",DATE('ข้อมูลโรงเรียน'!$C$12-543,12,18))</f>
        <v/>
      </c>
      <c r="BD5" s="1148">
        <f>IF(19&gt;DAY(EOMONTH(DATE('ข้อมูลโรงเรียน'!$C$12-543,12,1),0)),"",DATE('ข้อมูลโรงเรียน'!$C$12-543,12,19))</f>
        <v/>
      </c>
      <c r="BE5" s="1148">
        <f>IF(20&gt;DAY(EOMONTH(DATE('ข้อมูลโรงเรียน'!$C$12-543,12,1),0)),"",DATE('ข้อมูลโรงเรียน'!$C$12-543,12,20))</f>
        <v/>
      </c>
      <c r="BF5" s="1148">
        <f>IF(21&gt;DAY(EOMONTH(DATE('ข้อมูลโรงเรียน'!$C$12-543,12,1),0)),"",DATE('ข้อมูลโรงเรียน'!$C$12-543,12,21))</f>
        <v/>
      </c>
      <c r="BG5" s="1148">
        <f>IF(22&gt;DAY(EOMONTH(DATE('ข้อมูลโรงเรียน'!$C$12-543,12,1),0)),"",DATE('ข้อมูลโรงเรียน'!$C$12-543,12,22))</f>
        <v/>
      </c>
      <c r="BH5" s="1148">
        <f>IF(23&gt;DAY(EOMONTH(DATE('ข้อมูลโรงเรียน'!$C$12-543,12,1),0)),"",DATE('ข้อมูลโรงเรียน'!$C$12-543,12,23))</f>
        <v/>
      </c>
      <c r="BI5" s="1148">
        <f>IF(24&gt;DAY(EOMONTH(DATE('ข้อมูลโรงเรียน'!$C$12-543,12,1),0)),"",DATE('ข้อมูลโรงเรียน'!$C$12-543,12,24))</f>
        <v/>
      </c>
      <c r="BJ5" s="1148">
        <f>IF(25&gt;DAY(EOMONTH(DATE('ข้อมูลโรงเรียน'!$C$12-543,12,1),0)),"",DATE('ข้อมูลโรงเรียน'!$C$12-543,12,25))</f>
        <v/>
      </c>
      <c r="BK5" s="1148">
        <f>IF(26&gt;DAY(EOMONTH(DATE('ข้อมูลโรงเรียน'!$C$12-543,12,1),0)),"",DATE('ข้อมูลโรงเรียน'!$C$12-543,12,26))</f>
        <v/>
      </c>
      <c r="BL5" s="1148">
        <f>IF(27&gt;DAY(EOMONTH(DATE('ข้อมูลโรงเรียน'!$C$12-543,12,1),0)),"",DATE('ข้อมูลโรงเรียน'!$C$12-543,12,27))</f>
        <v/>
      </c>
      <c r="BM5" s="1148">
        <f>IF(28&gt;DAY(EOMONTH(DATE('ข้อมูลโรงเรียน'!$C$12-543,12,1),0)),"",DATE('ข้อมูลโรงเรียน'!$C$12-543,12,28))</f>
        <v/>
      </c>
      <c r="BN5" s="1148">
        <f>IF(29&gt;DAY(EOMONTH(DATE('ข้อมูลโรงเรียน'!$C$12-543,12,1),0)),"",DATE('ข้อมูลโรงเรียน'!$C$12-543,12,29))</f>
        <v/>
      </c>
      <c r="BO5" s="1148">
        <f>IF(30&gt;DAY(EOMONTH(DATE('ข้อมูลโรงเรียน'!$C$12-543,12,1),0)),"",DATE('ข้อมูลโรงเรียน'!$C$12-543,12,30))</f>
        <v/>
      </c>
      <c r="BP5" s="1148">
        <f>IF(31&gt;DAY(EOMONTH(DATE('ข้อมูลโรงเรียน'!$C$12-543,12,1),0)),"",DATE('ข้อมูลโรงเรียน'!$C$12-543,12,31))</f>
        <v/>
      </c>
      <c r="BT5" s="1148">
        <f>IF(1&gt;DAY(EOMONTH(DATE('ข้อมูลโรงเรียน'!$C$12-542,1,1),0)),"",DATE('ข้อมูลโรงเรียน'!$C$12-542,1,1))</f>
        <v/>
      </c>
      <c r="BU5" s="1148">
        <f>IF(2&gt;DAY(EOMONTH(DATE('ข้อมูลโรงเรียน'!$C$12-542,1,1),0)),"",DATE('ข้อมูลโรงเรียน'!$C$12-542,1,2))</f>
        <v/>
      </c>
      <c r="BV5" s="1148">
        <f>IF(3&gt;DAY(EOMONTH(DATE('ข้อมูลโรงเรียน'!$C$12-542,1,1),0)),"",DATE('ข้อมูลโรงเรียน'!$C$12-542,1,3))</f>
        <v/>
      </c>
      <c r="BW5" s="1148">
        <f>IF(4&gt;DAY(EOMONTH(DATE('ข้อมูลโรงเรียน'!$C$12-542,1,1),0)),"",DATE('ข้อมูลโรงเรียน'!$C$12-542,1,4))</f>
        <v/>
      </c>
      <c r="BX5" s="1148">
        <f>IF(5&gt;DAY(EOMONTH(DATE('ข้อมูลโรงเรียน'!$C$12-542,1,1),0)),"",DATE('ข้อมูลโรงเรียน'!$C$12-542,1,5))</f>
        <v/>
      </c>
      <c r="BY5" s="1148">
        <f>IF(6&gt;DAY(EOMONTH(DATE('ข้อมูลโรงเรียน'!$C$12-542,1,1),0)),"",DATE('ข้อมูลโรงเรียน'!$C$12-542,1,6))</f>
        <v/>
      </c>
      <c r="BZ5" s="1148">
        <f>IF(7&gt;DAY(EOMONTH(DATE('ข้อมูลโรงเรียน'!$C$12-542,1,1),0)),"",DATE('ข้อมูลโรงเรียน'!$C$12-542,1,7))</f>
        <v/>
      </c>
      <c r="CA5" s="1148">
        <f>IF(8&gt;DAY(EOMONTH(DATE('ข้อมูลโรงเรียน'!$C$12-542,1,1),0)),"",DATE('ข้อมูลโรงเรียน'!$C$12-542,1,8))</f>
        <v/>
      </c>
      <c r="CB5" s="1148">
        <f>IF(9&gt;DAY(EOMONTH(DATE('ข้อมูลโรงเรียน'!$C$12-542,1,1),0)),"",DATE('ข้อมูลโรงเรียน'!$C$12-542,1,9))</f>
        <v/>
      </c>
      <c r="CC5" s="1148">
        <f>IF(10&gt;DAY(EOMONTH(DATE('ข้อมูลโรงเรียน'!$C$12-542,1,1),0)),"",DATE('ข้อมูลโรงเรียน'!$C$12-542,1,10))</f>
        <v/>
      </c>
      <c r="CD5" s="1148">
        <f>IF(11&gt;DAY(EOMONTH(DATE('ข้อมูลโรงเรียน'!$C$12-542,1,1),0)),"",DATE('ข้อมูลโรงเรียน'!$C$12-542,1,11))</f>
        <v/>
      </c>
      <c r="CE5" s="1148">
        <f>IF(12&gt;DAY(EOMONTH(DATE('ข้อมูลโรงเรียน'!$C$12-542,1,1),0)),"",DATE('ข้อมูลโรงเรียน'!$C$12-542,1,12))</f>
        <v/>
      </c>
      <c r="CF5" s="1148">
        <f>IF(13&gt;DAY(EOMONTH(DATE('ข้อมูลโรงเรียน'!$C$12-542,1,1),0)),"",DATE('ข้อมูลโรงเรียน'!$C$12-542,1,13))</f>
        <v/>
      </c>
      <c r="CG5" s="1148">
        <f>IF(14&gt;DAY(EOMONTH(DATE('ข้อมูลโรงเรียน'!$C$12-542,1,1),0)),"",DATE('ข้อมูลโรงเรียน'!$C$12-542,1,14))</f>
        <v/>
      </c>
      <c r="CH5" s="1148">
        <f>IF(15&gt;DAY(EOMONTH(DATE('ข้อมูลโรงเรียน'!$C$12-542,1,1),0)),"",DATE('ข้อมูลโรงเรียน'!$C$12-542,1,15))</f>
        <v/>
      </c>
      <c r="CI5" s="1148">
        <f>IF(16&gt;DAY(EOMONTH(DATE('ข้อมูลโรงเรียน'!$C$12-542,1,1),0)),"",DATE('ข้อมูลโรงเรียน'!$C$12-542,1,16))</f>
        <v/>
      </c>
      <c r="CJ5" s="1148">
        <f>IF(17&gt;DAY(EOMONTH(DATE('ข้อมูลโรงเรียน'!$C$12-542,1,1),0)),"",DATE('ข้อมูลโรงเรียน'!$C$12-542,1,17))</f>
        <v/>
      </c>
      <c r="CK5" s="1148">
        <f>IF(18&gt;DAY(EOMONTH(DATE('ข้อมูลโรงเรียน'!$C$12-542,1,1),0)),"",DATE('ข้อมูลโรงเรียน'!$C$12-542,1,18))</f>
        <v/>
      </c>
      <c r="CL5" s="1148">
        <f>IF(19&gt;DAY(EOMONTH(DATE('ข้อมูลโรงเรียน'!$C$12-542,1,1),0)),"",DATE('ข้อมูลโรงเรียน'!$C$12-542,1,19))</f>
        <v/>
      </c>
      <c r="CM5" s="1148">
        <f>IF(20&gt;DAY(EOMONTH(DATE('ข้อมูลโรงเรียน'!$C$12-542,1,1),0)),"",DATE('ข้อมูลโรงเรียน'!$C$12-542,1,20))</f>
        <v/>
      </c>
      <c r="CN5" s="1148">
        <f>IF(21&gt;DAY(EOMONTH(DATE('ข้อมูลโรงเรียน'!$C$12-542,1,1),0)),"",DATE('ข้อมูลโรงเรียน'!$C$12-542,1,21))</f>
        <v/>
      </c>
      <c r="CO5" s="1148">
        <f>IF(22&gt;DAY(EOMONTH(DATE('ข้อมูลโรงเรียน'!$C$12-542,1,1),0)),"",DATE('ข้อมูลโรงเรียน'!$C$12-542,1,22))</f>
        <v/>
      </c>
      <c r="CP5" s="1148">
        <f>IF(23&gt;DAY(EOMONTH(DATE('ข้อมูลโรงเรียน'!$C$12-542,1,1),0)),"",DATE('ข้อมูลโรงเรียน'!$C$12-542,1,23))</f>
        <v/>
      </c>
      <c r="CQ5" s="1148">
        <f>IF(24&gt;DAY(EOMONTH(DATE('ข้อมูลโรงเรียน'!$C$12-542,1,1),0)),"",DATE('ข้อมูลโรงเรียน'!$C$12-542,1,24))</f>
        <v/>
      </c>
      <c r="CR5" s="1148">
        <f>IF(25&gt;DAY(EOMONTH(DATE('ข้อมูลโรงเรียน'!$C$12-542,1,1),0)),"",DATE('ข้อมูลโรงเรียน'!$C$12-542,1,25))</f>
        <v/>
      </c>
      <c r="CS5" s="1148">
        <f>IF(26&gt;DAY(EOMONTH(DATE('ข้อมูลโรงเรียน'!$C$12-542,1,1),0)),"",DATE('ข้อมูลโรงเรียน'!$C$12-542,1,26))</f>
        <v/>
      </c>
      <c r="CT5" s="1148">
        <f>IF(27&gt;DAY(EOMONTH(DATE('ข้อมูลโรงเรียน'!$C$12-542,1,1),0)),"",DATE('ข้อมูลโรงเรียน'!$C$12-542,1,27))</f>
        <v/>
      </c>
      <c r="CU5" s="1148">
        <f>IF(28&gt;DAY(EOMONTH(DATE('ข้อมูลโรงเรียน'!$C$12-542,1,1),0)),"",DATE('ข้อมูลโรงเรียน'!$C$12-542,1,28))</f>
        <v/>
      </c>
      <c r="CV5" s="1148">
        <f>IF(29&gt;DAY(EOMONTH(DATE('ข้อมูลโรงเรียน'!$C$12-542,1,1),0)),"",DATE('ข้อมูลโรงเรียน'!$C$12-542,1,29))</f>
        <v/>
      </c>
      <c r="CW5" s="1148">
        <f>IF(30&gt;DAY(EOMONTH(DATE('ข้อมูลโรงเรียน'!$C$12-542,1,1),0)),"",DATE('ข้อมูลโรงเรียน'!$C$12-542,1,30))</f>
        <v/>
      </c>
      <c r="CX5" s="1148">
        <f>IF(31&gt;DAY(EOMONTH(DATE('ข้อมูลโรงเรียน'!$C$12-542,1,1),0)),"",DATE('ข้อมูลโรงเรียน'!$C$12-542,1,31))</f>
        <v/>
      </c>
      <c r="DB5" s="1148">
        <f>IF(1&gt;DAY(EOMONTH(DATE('ข้อมูลโรงเรียน'!$C$12-542,2,1),0)),"",DATE('ข้อมูลโรงเรียน'!$C$12-542,2,1))</f>
        <v/>
      </c>
      <c r="DC5" s="1148">
        <f>IF(2&gt;DAY(EOMONTH(DATE('ข้อมูลโรงเรียน'!$C$12-542,2,1),0)),"",DATE('ข้อมูลโรงเรียน'!$C$12-542,2,2))</f>
        <v/>
      </c>
      <c r="DD5" s="1148">
        <f>IF(3&gt;DAY(EOMONTH(DATE('ข้อมูลโรงเรียน'!$C$12-542,2,1),0)),"",DATE('ข้อมูลโรงเรียน'!$C$12-542,2,3))</f>
        <v/>
      </c>
      <c r="DE5" s="1148">
        <f>IF(4&gt;DAY(EOMONTH(DATE('ข้อมูลโรงเรียน'!$C$12-542,2,1),0)),"",DATE('ข้อมูลโรงเรียน'!$C$12-542,2,4))</f>
        <v/>
      </c>
      <c r="DF5" s="1148">
        <f>IF(5&gt;DAY(EOMONTH(DATE('ข้อมูลโรงเรียน'!$C$12-542,2,1),0)),"",DATE('ข้อมูลโรงเรียน'!$C$12-542,2,5))</f>
        <v/>
      </c>
      <c r="DG5" s="1148">
        <f>IF(6&gt;DAY(EOMONTH(DATE('ข้อมูลโรงเรียน'!$C$12-542,2,1),0)),"",DATE('ข้อมูลโรงเรียน'!$C$12-542,2,6))</f>
        <v/>
      </c>
      <c r="DH5" s="1148">
        <f>IF(7&gt;DAY(EOMONTH(DATE('ข้อมูลโรงเรียน'!$C$12-542,2,1),0)),"",DATE('ข้อมูลโรงเรียน'!$C$12-542,2,7))</f>
        <v/>
      </c>
      <c r="DI5" s="1148">
        <f>IF(8&gt;DAY(EOMONTH(DATE('ข้อมูลโรงเรียน'!$C$12-542,2,1),0)),"",DATE('ข้อมูลโรงเรียน'!$C$12-542,2,8))</f>
        <v/>
      </c>
      <c r="DJ5" s="1148">
        <f>IF(9&gt;DAY(EOMONTH(DATE('ข้อมูลโรงเรียน'!$C$12-542,2,1),0)),"",DATE('ข้อมูลโรงเรียน'!$C$12-542,2,9))</f>
        <v/>
      </c>
      <c r="DK5" s="1148">
        <f>IF(10&gt;DAY(EOMONTH(DATE('ข้อมูลโรงเรียน'!$C$12-542,2,1),0)),"",DATE('ข้อมูลโรงเรียน'!$C$12-542,2,10))</f>
        <v/>
      </c>
      <c r="DL5" s="1148">
        <f>IF(11&gt;DAY(EOMONTH(DATE('ข้อมูลโรงเรียน'!$C$12-542,2,1),0)),"",DATE('ข้อมูลโรงเรียน'!$C$12-542,2,11))</f>
        <v/>
      </c>
      <c r="DM5" s="1148">
        <f>IF(12&gt;DAY(EOMONTH(DATE('ข้อมูลโรงเรียน'!$C$12-542,2,1),0)),"",DATE('ข้อมูลโรงเรียน'!$C$12-542,2,12))</f>
        <v/>
      </c>
      <c r="DN5" s="1148">
        <f>IF(13&gt;DAY(EOMONTH(DATE('ข้อมูลโรงเรียน'!$C$12-542,2,1),0)),"",DATE('ข้อมูลโรงเรียน'!$C$12-542,2,13))</f>
        <v/>
      </c>
      <c r="DO5" s="1148">
        <f>IF(14&gt;DAY(EOMONTH(DATE('ข้อมูลโรงเรียน'!$C$12-542,2,1),0)),"",DATE('ข้อมูลโรงเรียน'!$C$12-542,2,14))</f>
        <v/>
      </c>
      <c r="DP5" s="1148">
        <f>IF(15&gt;DAY(EOMONTH(DATE('ข้อมูลโรงเรียน'!$C$12-542,2,1),0)),"",DATE('ข้อมูลโรงเรียน'!$C$12-542,2,15))</f>
        <v/>
      </c>
      <c r="DQ5" s="1148">
        <f>IF(16&gt;DAY(EOMONTH(DATE('ข้อมูลโรงเรียน'!$C$12-542,2,1),0)),"",DATE('ข้อมูลโรงเรียน'!$C$12-542,2,16))</f>
        <v/>
      </c>
      <c r="DR5" s="1148">
        <f>IF(17&gt;DAY(EOMONTH(DATE('ข้อมูลโรงเรียน'!$C$12-542,2,1),0)),"",DATE('ข้อมูลโรงเรียน'!$C$12-542,2,17))</f>
        <v/>
      </c>
      <c r="DS5" s="1148">
        <f>IF(18&gt;DAY(EOMONTH(DATE('ข้อมูลโรงเรียน'!$C$12-542,2,1),0)),"",DATE('ข้อมูลโรงเรียน'!$C$12-542,2,18))</f>
        <v/>
      </c>
      <c r="DT5" s="1148">
        <f>IF(19&gt;DAY(EOMONTH(DATE('ข้อมูลโรงเรียน'!$C$12-542,2,1),0)),"",DATE('ข้อมูลโรงเรียน'!$C$12-542,2,19))</f>
        <v/>
      </c>
      <c r="DU5" s="1148">
        <f>IF(20&gt;DAY(EOMONTH(DATE('ข้อมูลโรงเรียน'!$C$12-542,2,1),0)),"",DATE('ข้อมูลโรงเรียน'!$C$12-542,2,20))</f>
        <v/>
      </c>
      <c r="DV5" s="1148">
        <f>IF(21&gt;DAY(EOMONTH(DATE('ข้อมูลโรงเรียน'!$C$12-542,2,1),0)),"",DATE('ข้อมูลโรงเรียน'!$C$12-542,2,21))</f>
        <v/>
      </c>
      <c r="DW5" s="1148">
        <f>IF(22&gt;DAY(EOMONTH(DATE('ข้อมูลโรงเรียน'!$C$12-542,2,1),0)),"",DATE('ข้อมูลโรงเรียน'!$C$12-542,2,22))</f>
        <v/>
      </c>
      <c r="DX5" s="1148">
        <f>IF(23&gt;DAY(EOMONTH(DATE('ข้อมูลโรงเรียน'!$C$12-542,2,1),0)),"",DATE('ข้อมูลโรงเรียน'!$C$12-542,2,23))</f>
        <v/>
      </c>
      <c r="DY5" s="1148">
        <f>IF(24&gt;DAY(EOMONTH(DATE('ข้อมูลโรงเรียน'!$C$12-542,2,1),0)),"",DATE('ข้อมูลโรงเรียน'!$C$12-542,2,24))</f>
        <v/>
      </c>
      <c r="DZ5" s="1148">
        <f>IF(25&gt;DAY(EOMONTH(DATE('ข้อมูลโรงเรียน'!$C$12-542,2,1),0)),"",DATE('ข้อมูลโรงเรียน'!$C$12-542,2,25))</f>
        <v/>
      </c>
      <c r="EA5" s="1148">
        <f>IF(26&gt;DAY(EOMONTH(DATE('ข้อมูลโรงเรียน'!$C$12-542,2,1),0)),"",DATE('ข้อมูลโรงเรียน'!$C$12-542,2,26))</f>
        <v/>
      </c>
      <c r="EB5" s="1148">
        <f>IF(27&gt;DAY(EOMONTH(DATE('ข้อมูลโรงเรียน'!$C$12-542,2,1),0)),"",DATE('ข้อมูลโรงเรียน'!$C$12-542,2,27))</f>
        <v/>
      </c>
      <c r="EC5" s="1148">
        <f>IF(28&gt;DAY(EOMONTH(DATE('ข้อมูลโรงเรียน'!$C$12-542,2,1),0)),"",DATE('ข้อมูลโรงเรียน'!$C$12-542,2,28))</f>
        <v/>
      </c>
      <c r="ED5" s="1148">
        <f>IF(29&gt;DAY(EOMONTH(DATE('ข้อมูลโรงเรียน'!$C$12-542,2,1),0)),"",DATE('ข้อมูลโรงเรียน'!$C$12-542,2,29))</f>
        <v/>
      </c>
      <c r="EE5" s="1148">
        <f>IF(30&gt;DAY(EOMONTH(DATE('ข้อมูลโรงเรียน'!$C$12-542,2,1),0)),"",DATE('ข้อมูลโรงเรียน'!$C$12-542,2,30))</f>
        <v/>
      </c>
      <c r="EF5" s="1148">
        <f>IF(31&gt;DAY(EOMONTH(DATE('ข้อมูลโรงเรียน'!$C$12-542,2,1),0)),"",DATE('ข้อมูลโรงเรียน'!$C$12-542,2,31))</f>
        <v/>
      </c>
      <c r="EJ5" s="1148">
        <f>IF(1&gt;DAY(EOMONTH(DATE('ข้อมูลโรงเรียน'!$C$12-542,3,1),0)),"",DATE('ข้อมูลโรงเรียน'!$C$12-542,3,1))</f>
        <v/>
      </c>
      <c r="EK5" s="1148">
        <f>IF(2&gt;DAY(EOMONTH(DATE('ข้อมูลโรงเรียน'!$C$12-542,3,1),0)),"",DATE('ข้อมูลโรงเรียน'!$C$12-542,3,2))</f>
        <v/>
      </c>
      <c r="EL5" s="1148">
        <f>IF(3&gt;DAY(EOMONTH(DATE('ข้อมูลโรงเรียน'!$C$12-542,3,1),0)),"",DATE('ข้อมูลโรงเรียน'!$C$12-542,3,3))</f>
        <v/>
      </c>
      <c r="EM5" s="1148">
        <f>IF(4&gt;DAY(EOMONTH(DATE('ข้อมูลโรงเรียน'!$C$12-542,3,1),0)),"",DATE('ข้อมูลโรงเรียน'!$C$12-542,3,4))</f>
        <v/>
      </c>
      <c r="EN5" s="1148">
        <f>IF(5&gt;DAY(EOMONTH(DATE('ข้อมูลโรงเรียน'!$C$12-542,3,1),0)),"",DATE('ข้อมูลโรงเรียน'!$C$12-542,3,5))</f>
        <v/>
      </c>
      <c r="EO5" s="1148">
        <f>IF(6&gt;DAY(EOMONTH(DATE('ข้อมูลโรงเรียน'!$C$12-542,3,1),0)),"",DATE('ข้อมูลโรงเรียน'!$C$12-542,3,6))</f>
        <v/>
      </c>
      <c r="EP5" s="1148">
        <f>IF(7&gt;DAY(EOMONTH(DATE('ข้อมูลโรงเรียน'!$C$12-542,3,1),0)),"",DATE('ข้อมูลโรงเรียน'!$C$12-542,3,7))</f>
        <v/>
      </c>
      <c r="EQ5" s="1148">
        <f>IF(8&gt;DAY(EOMONTH(DATE('ข้อมูลโรงเรียน'!$C$12-542,3,1),0)),"",DATE('ข้อมูลโรงเรียน'!$C$12-542,3,8))</f>
        <v/>
      </c>
      <c r="ER5" s="1148">
        <f>IF(9&gt;DAY(EOMONTH(DATE('ข้อมูลโรงเรียน'!$C$12-542,3,1),0)),"",DATE('ข้อมูลโรงเรียน'!$C$12-542,3,9))</f>
        <v/>
      </c>
      <c r="ES5" s="1148">
        <f>IF(10&gt;DAY(EOMONTH(DATE('ข้อมูลโรงเรียน'!$C$12-542,3,1),0)),"",DATE('ข้อมูลโรงเรียน'!$C$12-542,3,10))</f>
        <v/>
      </c>
      <c r="ET5" s="1148">
        <f>IF(11&gt;DAY(EOMONTH(DATE('ข้อมูลโรงเรียน'!$C$12-542,3,1),0)),"",DATE('ข้อมูลโรงเรียน'!$C$12-542,3,11))</f>
        <v/>
      </c>
      <c r="EU5" s="1148">
        <f>IF(12&gt;DAY(EOMONTH(DATE('ข้อมูลโรงเรียน'!$C$12-542,3,1),0)),"",DATE('ข้อมูลโรงเรียน'!$C$12-542,3,12))</f>
        <v/>
      </c>
      <c r="EV5" s="1148">
        <f>IF(13&gt;DAY(EOMONTH(DATE('ข้อมูลโรงเรียน'!$C$12-542,3,1),0)),"",DATE('ข้อมูลโรงเรียน'!$C$12-542,3,13))</f>
        <v/>
      </c>
      <c r="EW5" s="1148">
        <f>IF(14&gt;DAY(EOMONTH(DATE('ข้อมูลโรงเรียน'!$C$12-542,3,1),0)),"",DATE('ข้อมูลโรงเรียน'!$C$12-542,3,14))</f>
        <v/>
      </c>
      <c r="EX5" s="1148">
        <f>IF(15&gt;DAY(EOMONTH(DATE('ข้อมูลโรงเรียน'!$C$12-542,3,1),0)),"",DATE('ข้อมูลโรงเรียน'!$C$12-542,3,15))</f>
        <v/>
      </c>
      <c r="EY5" s="1148">
        <f>IF(16&gt;DAY(EOMONTH(DATE('ข้อมูลโรงเรียน'!$C$12-542,3,1),0)),"",DATE('ข้อมูลโรงเรียน'!$C$12-542,3,16))</f>
        <v/>
      </c>
      <c r="EZ5" s="1148">
        <f>IF(17&gt;DAY(EOMONTH(DATE('ข้อมูลโรงเรียน'!$C$12-542,3,1),0)),"",DATE('ข้อมูลโรงเรียน'!$C$12-542,3,17))</f>
        <v/>
      </c>
      <c r="FA5" s="1148">
        <f>IF(18&gt;DAY(EOMONTH(DATE('ข้อมูลโรงเรียน'!$C$12-542,3,1),0)),"",DATE('ข้อมูลโรงเรียน'!$C$12-542,3,18))</f>
        <v/>
      </c>
      <c r="FB5" s="1148">
        <f>IF(19&gt;DAY(EOMONTH(DATE('ข้อมูลโรงเรียน'!$C$12-542,3,1),0)),"",DATE('ข้อมูลโรงเรียน'!$C$12-542,3,19))</f>
        <v/>
      </c>
      <c r="FC5" s="1148">
        <f>IF(20&gt;DAY(EOMONTH(DATE('ข้อมูลโรงเรียน'!$C$12-542,3,1),0)),"",DATE('ข้อมูลโรงเรียน'!$C$12-542,3,20))</f>
        <v/>
      </c>
      <c r="FD5" s="1148">
        <f>IF(21&gt;DAY(EOMONTH(DATE('ข้อมูลโรงเรียน'!$C$12-542,3,1),0)),"",DATE('ข้อมูลโรงเรียน'!$C$12-542,3,21))</f>
        <v/>
      </c>
      <c r="FE5" s="1148">
        <f>IF(22&gt;DAY(EOMONTH(DATE('ข้อมูลโรงเรียน'!$C$12-542,3,1),0)),"",DATE('ข้อมูลโรงเรียน'!$C$12-542,3,22))</f>
        <v/>
      </c>
      <c r="FF5" s="1148">
        <f>IF(23&gt;DAY(EOMONTH(DATE('ข้อมูลโรงเรียน'!$C$12-542,3,1),0)),"",DATE('ข้อมูลโรงเรียน'!$C$12-542,3,23))</f>
        <v/>
      </c>
      <c r="FG5" s="1148">
        <f>IF(24&gt;DAY(EOMONTH(DATE('ข้อมูลโรงเรียน'!$C$12-542,3,1),0)),"",DATE('ข้อมูลโรงเรียน'!$C$12-542,3,24))</f>
        <v/>
      </c>
      <c r="FH5" s="1148">
        <f>IF(25&gt;DAY(EOMONTH(DATE('ข้อมูลโรงเรียน'!$C$12-542,3,1),0)),"",DATE('ข้อมูลโรงเรียน'!$C$12-542,3,25))</f>
        <v/>
      </c>
      <c r="FI5" s="1148">
        <f>IF(26&gt;DAY(EOMONTH(DATE('ข้อมูลโรงเรียน'!$C$12-542,3,1),0)),"",DATE('ข้อมูลโรงเรียน'!$C$12-542,3,26))</f>
        <v/>
      </c>
      <c r="FJ5" s="1148">
        <f>IF(27&gt;DAY(EOMONTH(DATE('ข้อมูลโรงเรียน'!$C$12-542,3,1),0)),"",DATE('ข้อมูลโรงเรียน'!$C$12-542,3,27))</f>
        <v/>
      </c>
      <c r="FK5" s="1148">
        <f>IF(28&gt;DAY(EOMONTH(DATE('ข้อมูลโรงเรียน'!$C$12-542,3,1),0)),"",DATE('ข้อมูลโรงเรียน'!$C$12-542,3,28))</f>
        <v/>
      </c>
      <c r="FL5" s="1148">
        <f>IF(29&gt;DAY(EOMONTH(DATE('ข้อมูลโรงเรียน'!$C$12-542,3,1),0)),"",DATE('ข้อมูลโรงเรียน'!$C$12-542,3,29))</f>
        <v/>
      </c>
      <c r="FM5" s="1148">
        <f>IF(30&gt;DAY(EOMONTH(DATE('ข้อมูลโรงเรียน'!$C$12-542,3,1),0)),"",DATE('ข้อมูลโรงเรียน'!$C$12-542,3,30))</f>
        <v/>
      </c>
      <c r="FN5" s="1148">
        <f>IF(31&gt;DAY(EOMONTH(DATE('ข้อมูลโรงเรียน'!$C$12-542,3,1),0)),"",DATE('ข้อมูลโรงเรียน'!$C$12-542,3,31))</f>
        <v/>
      </c>
    </row>
    <row r="6">
      <c r="A6" t="inlineStr">
        <is>
          <t>ภ2 สถานะ</t>
        </is>
      </c>
      <c r="D6">
        <f>IF(D5="",0,IF(OR(D5&lt;'ข้อมูลโรงเรียน'!$Z$17,D5&gt;'ข้อมูลโรงเรียน'!$Z$18),4,IF(WEEKDAY(D5,2)&gt;5,2,IF(COUNTIF('ข้อมูลโรงเรียน'!$Z$22:$Z$61,D5)&gt;0,3,1))))</f>
        <v/>
      </c>
      <c r="E6">
        <f>IF(E5="",0,IF(OR(E5&lt;'ข้อมูลโรงเรียน'!$Z$17,E5&gt;'ข้อมูลโรงเรียน'!$Z$18),4,IF(WEEKDAY(E5,2)&gt;5,2,IF(COUNTIF('ข้อมูลโรงเรียน'!$Z$22:$Z$61,E5)&gt;0,3,1))))</f>
        <v/>
      </c>
      <c r="F6">
        <f>IF(F5="",0,IF(OR(F5&lt;'ข้อมูลโรงเรียน'!$Z$17,F5&gt;'ข้อมูลโรงเรียน'!$Z$18),4,IF(WEEKDAY(F5,2)&gt;5,2,IF(COUNTIF('ข้อมูลโรงเรียน'!$Z$22:$Z$61,F5)&gt;0,3,1))))</f>
        <v/>
      </c>
      <c r="G6">
        <f>IF(G5="",0,IF(OR(G5&lt;'ข้อมูลโรงเรียน'!$Z$17,G5&gt;'ข้อมูลโรงเรียน'!$Z$18),4,IF(WEEKDAY(G5,2)&gt;5,2,IF(COUNTIF('ข้อมูลโรงเรียน'!$Z$22:$Z$61,G5)&gt;0,3,1))))</f>
        <v/>
      </c>
      <c r="H6">
        <f>IF(H5="",0,IF(OR(H5&lt;'ข้อมูลโรงเรียน'!$Z$17,H5&gt;'ข้อมูลโรงเรียน'!$Z$18),4,IF(WEEKDAY(H5,2)&gt;5,2,IF(COUNTIF('ข้อมูลโรงเรียน'!$Z$22:$Z$61,H5)&gt;0,3,1))))</f>
        <v/>
      </c>
      <c r="I6">
        <f>IF(I5="",0,IF(OR(I5&lt;'ข้อมูลโรงเรียน'!$Z$17,I5&gt;'ข้อมูลโรงเรียน'!$Z$18),4,IF(WEEKDAY(I5,2)&gt;5,2,IF(COUNTIF('ข้อมูลโรงเรียน'!$Z$22:$Z$61,I5)&gt;0,3,1))))</f>
        <v/>
      </c>
      <c r="J6">
        <f>IF(J5="",0,IF(OR(J5&lt;'ข้อมูลโรงเรียน'!$Z$17,J5&gt;'ข้อมูลโรงเรียน'!$Z$18),4,IF(WEEKDAY(J5,2)&gt;5,2,IF(COUNTIF('ข้อมูลโรงเรียน'!$Z$22:$Z$61,J5)&gt;0,3,1))))</f>
        <v/>
      </c>
      <c r="K6">
        <f>IF(K5="",0,IF(OR(K5&lt;'ข้อมูลโรงเรียน'!$Z$17,K5&gt;'ข้อมูลโรงเรียน'!$Z$18),4,IF(WEEKDAY(K5,2)&gt;5,2,IF(COUNTIF('ข้อมูลโรงเรียน'!$Z$22:$Z$61,K5)&gt;0,3,1))))</f>
        <v/>
      </c>
      <c r="L6">
        <f>IF(L5="",0,IF(OR(L5&lt;'ข้อมูลโรงเรียน'!$Z$17,L5&gt;'ข้อมูลโรงเรียน'!$Z$18),4,IF(WEEKDAY(L5,2)&gt;5,2,IF(COUNTIF('ข้อมูลโรงเรียน'!$Z$22:$Z$61,L5)&gt;0,3,1))))</f>
        <v/>
      </c>
      <c r="M6">
        <f>IF(M5="",0,IF(OR(M5&lt;'ข้อมูลโรงเรียน'!$Z$17,M5&gt;'ข้อมูลโรงเรียน'!$Z$18),4,IF(WEEKDAY(M5,2)&gt;5,2,IF(COUNTIF('ข้อมูลโรงเรียน'!$Z$22:$Z$61,M5)&gt;0,3,1))))</f>
        <v/>
      </c>
      <c r="N6">
        <f>IF(N5="",0,IF(OR(N5&lt;'ข้อมูลโรงเรียน'!$Z$17,N5&gt;'ข้อมูลโรงเรียน'!$Z$18),4,IF(WEEKDAY(N5,2)&gt;5,2,IF(COUNTIF('ข้อมูลโรงเรียน'!$Z$22:$Z$61,N5)&gt;0,3,1))))</f>
        <v/>
      </c>
      <c r="O6">
        <f>IF(O5="",0,IF(OR(O5&lt;'ข้อมูลโรงเรียน'!$Z$17,O5&gt;'ข้อมูลโรงเรียน'!$Z$18),4,IF(WEEKDAY(O5,2)&gt;5,2,IF(COUNTIF('ข้อมูลโรงเรียน'!$Z$22:$Z$61,O5)&gt;0,3,1))))</f>
        <v/>
      </c>
      <c r="P6">
        <f>IF(P5="",0,IF(OR(P5&lt;'ข้อมูลโรงเรียน'!$Z$17,P5&gt;'ข้อมูลโรงเรียน'!$Z$18),4,IF(WEEKDAY(P5,2)&gt;5,2,IF(COUNTIF('ข้อมูลโรงเรียน'!$Z$22:$Z$61,P5)&gt;0,3,1))))</f>
        <v/>
      </c>
      <c r="Q6">
        <f>IF(Q5="",0,IF(OR(Q5&lt;'ข้อมูลโรงเรียน'!$Z$17,Q5&gt;'ข้อมูลโรงเรียน'!$Z$18),4,IF(WEEKDAY(Q5,2)&gt;5,2,IF(COUNTIF('ข้อมูลโรงเรียน'!$Z$22:$Z$61,Q5)&gt;0,3,1))))</f>
        <v/>
      </c>
      <c r="R6">
        <f>IF(R5="",0,IF(OR(R5&lt;'ข้อมูลโรงเรียน'!$Z$17,R5&gt;'ข้อมูลโรงเรียน'!$Z$18),4,IF(WEEKDAY(R5,2)&gt;5,2,IF(COUNTIF('ข้อมูลโรงเรียน'!$Z$22:$Z$61,R5)&gt;0,3,1))))</f>
        <v/>
      </c>
      <c r="S6">
        <f>IF(S5="",0,IF(OR(S5&lt;'ข้อมูลโรงเรียน'!$Z$17,S5&gt;'ข้อมูลโรงเรียน'!$Z$18),4,IF(WEEKDAY(S5,2)&gt;5,2,IF(COUNTIF('ข้อมูลโรงเรียน'!$Z$22:$Z$61,S5)&gt;0,3,1))))</f>
        <v/>
      </c>
      <c r="T6">
        <f>IF(T5="",0,IF(OR(T5&lt;'ข้อมูลโรงเรียน'!$Z$17,T5&gt;'ข้อมูลโรงเรียน'!$Z$18),4,IF(WEEKDAY(T5,2)&gt;5,2,IF(COUNTIF('ข้อมูลโรงเรียน'!$Z$22:$Z$61,T5)&gt;0,3,1))))</f>
        <v/>
      </c>
      <c r="U6">
        <f>IF(U5="",0,IF(OR(U5&lt;'ข้อมูลโรงเรียน'!$Z$17,U5&gt;'ข้อมูลโรงเรียน'!$Z$18),4,IF(WEEKDAY(U5,2)&gt;5,2,IF(COUNTIF('ข้อมูลโรงเรียน'!$Z$22:$Z$61,U5)&gt;0,3,1))))</f>
        <v/>
      </c>
      <c r="V6">
        <f>IF(V5="",0,IF(OR(V5&lt;'ข้อมูลโรงเรียน'!$Z$17,V5&gt;'ข้อมูลโรงเรียน'!$Z$18),4,IF(WEEKDAY(V5,2)&gt;5,2,IF(COUNTIF('ข้อมูลโรงเรียน'!$Z$22:$Z$61,V5)&gt;0,3,1))))</f>
        <v/>
      </c>
      <c r="W6">
        <f>IF(W5="",0,IF(OR(W5&lt;'ข้อมูลโรงเรียน'!$Z$17,W5&gt;'ข้อมูลโรงเรียน'!$Z$18),4,IF(WEEKDAY(W5,2)&gt;5,2,IF(COUNTIF('ข้อมูลโรงเรียน'!$Z$22:$Z$61,W5)&gt;0,3,1))))</f>
        <v/>
      </c>
      <c r="X6">
        <f>IF(X5="",0,IF(OR(X5&lt;'ข้อมูลโรงเรียน'!$Z$17,X5&gt;'ข้อมูลโรงเรียน'!$Z$18),4,IF(WEEKDAY(X5,2)&gt;5,2,IF(COUNTIF('ข้อมูลโรงเรียน'!$Z$22:$Z$61,X5)&gt;0,3,1))))</f>
        <v/>
      </c>
      <c r="Y6">
        <f>IF(Y5="",0,IF(OR(Y5&lt;'ข้อมูลโรงเรียน'!$Z$17,Y5&gt;'ข้อมูลโรงเรียน'!$Z$18),4,IF(WEEKDAY(Y5,2)&gt;5,2,IF(COUNTIF('ข้อมูลโรงเรียน'!$Z$22:$Z$61,Y5)&gt;0,3,1))))</f>
        <v/>
      </c>
      <c r="Z6">
        <f>IF(Z5="",0,IF(OR(Z5&lt;'ข้อมูลโรงเรียน'!$Z$17,Z5&gt;'ข้อมูลโรงเรียน'!$Z$18),4,IF(WEEKDAY(Z5,2)&gt;5,2,IF(COUNTIF('ข้อมูลโรงเรียน'!$Z$22:$Z$61,Z5)&gt;0,3,1))))</f>
        <v/>
      </c>
      <c r="AA6">
        <f>IF(AA5="",0,IF(OR(AA5&lt;'ข้อมูลโรงเรียน'!$Z$17,AA5&gt;'ข้อมูลโรงเรียน'!$Z$18),4,IF(WEEKDAY(AA5,2)&gt;5,2,IF(COUNTIF('ข้อมูลโรงเรียน'!$Z$22:$Z$61,AA5)&gt;0,3,1))))</f>
        <v/>
      </c>
      <c r="AB6">
        <f>IF(AB5="",0,IF(OR(AB5&lt;'ข้อมูลโรงเรียน'!$Z$17,AB5&gt;'ข้อมูลโรงเรียน'!$Z$18),4,IF(WEEKDAY(AB5,2)&gt;5,2,IF(COUNTIF('ข้อมูลโรงเรียน'!$Z$22:$Z$61,AB5)&gt;0,3,1))))</f>
        <v/>
      </c>
      <c r="AC6">
        <f>IF(AC5="",0,IF(OR(AC5&lt;'ข้อมูลโรงเรียน'!$Z$17,AC5&gt;'ข้อมูลโรงเรียน'!$Z$18),4,IF(WEEKDAY(AC5,2)&gt;5,2,IF(COUNTIF('ข้อมูลโรงเรียน'!$Z$22:$Z$61,AC5)&gt;0,3,1))))</f>
        <v/>
      </c>
      <c r="AD6">
        <f>IF(AD5="",0,IF(OR(AD5&lt;'ข้อมูลโรงเรียน'!$Z$17,AD5&gt;'ข้อมูลโรงเรียน'!$Z$18),4,IF(WEEKDAY(AD5,2)&gt;5,2,IF(COUNTIF('ข้อมูลโรงเรียน'!$Z$22:$Z$61,AD5)&gt;0,3,1))))</f>
        <v/>
      </c>
      <c r="AE6">
        <f>IF(AE5="",0,IF(OR(AE5&lt;'ข้อมูลโรงเรียน'!$Z$17,AE5&gt;'ข้อมูลโรงเรียน'!$Z$18),4,IF(WEEKDAY(AE5,2)&gt;5,2,IF(COUNTIF('ข้อมูลโรงเรียน'!$Z$22:$Z$61,AE5)&gt;0,3,1))))</f>
        <v/>
      </c>
      <c r="AF6">
        <f>IF(AF5="",0,IF(OR(AF5&lt;'ข้อมูลโรงเรียน'!$Z$17,AF5&gt;'ข้อมูลโรงเรียน'!$Z$18),4,IF(WEEKDAY(AF5,2)&gt;5,2,IF(COUNTIF('ข้อมูลโรงเรียน'!$Z$22:$Z$61,AF5)&gt;0,3,1))))</f>
        <v/>
      </c>
      <c r="AG6">
        <f>IF(AG5="",0,IF(OR(AG5&lt;'ข้อมูลโรงเรียน'!$Z$17,AG5&gt;'ข้อมูลโรงเรียน'!$Z$18),4,IF(WEEKDAY(AG5,2)&gt;5,2,IF(COUNTIF('ข้อมูลโรงเรียน'!$Z$22:$Z$61,AG5)&gt;0,3,1))))</f>
        <v/>
      </c>
      <c r="AH6">
        <f>IF(AH5="",0,IF(OR(AH5&lt;'ข้อมูลโรงเรียน'!$Z$17,AH5&gt;'ข้อมูลโรงเรียน'!$Z$18),4,IF(WEEKDAY(AH5,2)&gt;5,2,IF(COUNTIF('ข้อมูลโรงเรียน'!$Z$22:$Z$61,AH5)&gt;0,3,1))))</f>
        <v/>
      </c>
      <c r="AI6" t="inlineStr">
        <is>
          <t>s</t>
        </is>
      </c>
      <c r="AJ6" t="inlineStr">
        <is>
          <t>s</t>
        </is>
      </c>
      <c r="AK6" t="inlineStr">
        <is>
          <t>s</t>
        </is>
      </c>
      <c r="AL6">
        <f>IF(AL5="",0,IF(OR(AL5&lt;'ข้อมูลโรงเรียน'!$Z$17,AL5&gt;'ข้อมูลโรงเรียน'!$Z$18),4,IF(WEEKDAY(AL5,2)&gt;5,2,IF(COUNTIF('ข้อมูลโรงเรียน'!$Z$22:$Z$61,AL5)&gt;0,3,1))))</f>
        <v/>
      </c>
      <c r="AM6">
        <f>IF(AM5="",0,IF(OR(AM5&lt;'ข้อมูลโรงเรียน'!$Z$17,AM5&gt;'ข้อมูลโรงเรียน'!$Z$18),4,IF(WEEKDAY(AM5,2)&gt;5,2,IF(COUNTIF('ข้อมูลโรงเรียน'!$Z$22:$Z$61,AM5)&gt;0,3,1))))</f>
        <v/>
      </c>
      <c r="AN6">
        <f>IF(AN5="",0,IF(OR(AN5&lt;'ข้อมูลโรงเรียน'!$Z$17,AN5&gt;'ข้อมูลโรงเรียน'!$Z$18),4,IF(WEEKDAY(AN5,2)&gt;5,2,IF(COUNTIF('ข้อมูลโรงเรียน'!$Z$22:$Z$61,AN5)&gt;0,3,1))))</f>
        <v/>
      </c>
      <c r="AO6">
        <f>IF(AO5="",0,IF(OR(AO5&lt;'ข้อมูลโรงเรียน'!$Z$17,AO5&gt;'ข้อมูลโรงเรียน'!$Z$18),4,IF(WEEKDAY(AO5,2)&gt;5,2,IF(COUNTIF('ข้อมูลโรงเรียน'!$Z$22:$Z$61,AO5)&gt;0,3,1))))</f>
        <v/>
      </c>
      <c r="AP6">
        <f>IF(AP5="",0,IF(OR(AP5&lt;'ข้อมูลโรงเรียน'!$Z$17,AP5&gt;'ข้อมูลโรงเรียน'!$Z$18),4,IF(WEEKDAY(AP5,2)&gt;5,2,IF(COUNTIF('ข้อมูลโรงเรียน'!$Z$22:$Z$61,AP5)&gt;0,3,1))))</f>
        <v/>
      </c>
      <c r="AQ6">
        <f>IF(AQ5="",0,IF(OR(AQ5&lt;'ข้อมูลโรงเรียน'!$Z$17,AQ5&gt;'ข้อมูลโรงเรียน'!$Z$18),4,IF(WEEKDAY(AQ5,2)&gt;5,2,IF(COUNTIF('ข้อมูลโรงเรียน'!$Z$22:$Z$61,AQ5)&gt;0,3,1))))</f>
        <v/>
      </c>
      <c r="AR6">
        <f>IF(AR5="",0,IF(OR(AR5&lt;'ข้อมูลโรงเรียน'!$Z$17,AR5&gt;'ข้อมูลโรงเรียน'!$Z$18),4,IF(WEEKDAY(AR5,2)&gt;5,2,IF(COUNTIF('ข้อมูลโรงเรียน'!$Z$22:$Z$61,AR5)&gt;0,3,1))))</f>
        <v/>
      </c>
      <c r="AS6">
        <f>IF(AS5="",0,IF(OR(AS5&lt;'ข้อมูลโรงเรียน'!$Z$17,AS5&gt;'ข้อมูลโรงเรียน'!$Z$18),4,IF(WEEKDAY(AS5,2)&gt;5,2,IF(COUNTIF('ข้อมูลโรงเรียน'!$Z$22:$Z$61,AS5)&gt;0,3,1))))</f>
        <v/>
      </c>
      <c r="AT6">
        <f>IF(AT5="",0,IF(OR(AT5&lt;'ข้อมูลโรงเรียน'!$Z$17,AT5&gt;'ข้อมูลโรงเรียน'!$Z$18),4,IF(WEEKDAY(AT5,2)&gt;5,2,IF(COUNTIF('ข้อมูลโรงเรียน'!$Z$22:$Z$61,AT5)&gt;0,3,1))))</f>
        <v/>
      </c>
      <c r="AU6">
        <f>IF(AU5="",0,IF(OR(AU5&lt;'ข้อมูลโรงเรียน'!$Z$17,AU5&gt;'ข้อมูลโรงเรียน'!$Z$18),4,IF(WEEKDAY(AU5,2)&gt;5,2,IF(COUNTIF('ข้อมูลโรงเรียน'!$Z$22:$Z$61,AU5)&gt;0,3,1))))</f>
        <v/>
      </c>
      <c r="AV6">
        <f>IF(AV5="",0,IF(OR(AV5&lt;'ข้อมูลโรงเรียน'!$Z$17,AV5&gt;'ข้อมูลโรงเรียน'!$Z$18),4,IF(WEEKDAY(AV5,2)&gt;5,2,IF(COUNTIF('ข้อมูลโรงเรียน'!$Z$22:$Z$61,AV5)&gt;0,3,1))))</f>
        <v/>
      </c>
      <c r="AW6">
        <f>IF(AW5="",0,IF(OR(AW5&lt;'ข้อมูลโรงเรียน'!$Z$17,AW5&gt;'ข้อมูลโรงเรียน'!$Z$18),4,IF(WEEKDAY(AW5,2)&gt;5,2,IF(COUNTIF('ข้อมูลโรงเรียน'!$Z$22:$Z$61,AW5)&gt;0,3,1))))</f>
        <v/>
      </c>
      <c r="AX6">
        <f>IF(AX5="",0,IF(OR(AX5&lt;'ข้อมูลโรงเรียน'!$Z$17,AX5&gt;'ข้อมูลโรงเรียน'!$Z$18),4,IF(WEEKDAY(AX5,2)&gt;5,2,IF(COUNTIF('ข้อมูลโรงเรียน'!$Z$22:$Z$61,AX5)&gt;0,3,1))))</f>
        <v/>
      </c>
      <c r="AY6">
        <f>IF(AY5="",0,IF(OR(AY5&lt;'ข้อมูลโรงเรียน'!$Z$17,AY5&gt;'ข้อมูลโรงเรียน'!$Z$18),4,IF(WEEKDAY(AY5,2)&gt;5,2,IF(COUNTIF('ข้อมูลโรงเรียน'!$Z$22:$Z$61,AY5)&gt;0,3,1))))</f>
        <v/>
      </c>
      <c r="AZ6">
        <f>IF(AZ5="",0,IF(OR(AZ5&lt;'ข้อมูลโรงเรียน'!$Z$17,AZ5&gt;'ข้อมูลโรงเรียน'!$Z$18),4,IF(WEEKDAY(AZ5,2)&gt;5,2,IF(COUNTIF('ข้อมูลโรงเรียน'!$Z$22:$Z$61,AZ5)&gt;0,3,1))))</f>
        <v/>
      </c>
      <c r="BA6">
        <f>IF(BA5="",0,IF(OR(BA5&lt;'ข้อมูลโรงเรียน'!$Z$17,BA5&gt;'ข้อมูลโรงเรียน'!$Z$18),4,IF(WEEKDAY(BA5,2)&gt;5,2,IF(COUNTIF('ข้อมูลโรงเรียน'!$Z$22:$Z$61,BA5)&gt;0,3,1))))</f>
        <v/>
      </c>
      <c r="BB6">
        <f>IF(BB5="",0,IF(OR(BB5&lt;'ข้อมูลโรงเรียน'!$Z$17,BB5&gt;'ข้อมูลโรงเรียน'!$Z$18),4,IF(WEEKDAY(BB5,2)&gt;5,2,IF(COUNTIF('ข้อมูลโรงเรียน'!$Z$22:$Z$61,BB5)&gt;0,3,1))))</f>
        <v/>
      </c>
      <c r="BC6">
        <f>IF(BC5="",0,IF(OR(BC5&lt;'ข้อมูลโรงเรียน'!$Z$17,BC5&gt;'ข้อมูลโรงเรียน'!$Z$18),4,IF(WEEKDAY(BC5,2)&gt;5,2,IF(COUNTIF('ข้อมูลโรงเรียน'!$Z$22:$Z$61,BC5)&gt;0,3,1))))</f>
        <v/>
      </c>
      <c r="BD6">
        <f>IF(BD5="",0,IF(OR(BD5&lt;'ข้อมูลโรงเรียน'!$Z$17,BD5&gt;'ข้อมูลโรงเรียน'!$Z$18),4,IF(WEEKDAY(BD5,2)&gt;5,2,IF(COUNTIF('ข้อมูลโรงเรียน'!$Z$22:$Z$61,BD5)&gt;0,3,1))))</f>
        <v/>
      </c>
      <c r="BE6">
        <f>IF(BE5="",0,IF(OR(BE5&lt;'ข้อมูลโรงเรียน'!$Z$17,BE5&gt;'ข้อมูลโรงเรียน'!$Z$18),4,IF(WEEKDAY(BE5,2)&gt;5,2,IF(COUNTIF('ข้อมูลโรงเรียน'!$Z$22:$Z$61,BE5)&gt;0,3,1))))</f>
        <v/>
      </c>
      <c r="BF6">
        <f>IF(BF5="",0,IF(OR(BF5&lt;'ข้อมูลโรงเรียน'!$Z$17,BF5&gt;'ข้อมูลโรงเรียน'!$Z$18),4,IF(WEEKDAY(BF5,2)&gt;5,2,IF(COUNTIF('ข้อมูลโรงเรียน'!$Z$22:$Z$61,BF5)&gt;0,3,1))))</f>
        <v/>
      </c>
      <c r="BG6">
        <f>IF(BG5="",0,IF(OR(BG5&lt;'ข้อมูลโรงเรียน'!$Z$17,BG5&gt;'ข้อมูลโรงเรียน'!$Z$18),4,IF(WEEKDAY(BG5,2)&gt;5,2,IF(COUNTIF('ข้อมูลโรงเรียน'!$Z$22:$Z$61,BG5)&gt;0,3,1))))</f>
        <v/>
      </c>
      <c r="BH6">
        <f>IF(BH5="",0,IF(OR(BH5&lt;'ข้อมูลโรงเรียน'!$Z$17,BH5&gt;'ข้อมูลโรงเรียน'!$Z$18),4,IF(WEEKDAY(BH5,2)&gt;5,2,IF(COUNTIF('ข้อมูลโรงเรียน'!$Z$22:$Z$61,BH5)&gt;0,3,1))))</f>
        <v/>
      </c>
      <c r="BI6">
        <f>IF(BI5="",0,IF(OR(BI5&lt;'ข้อมูลโรงเรียน'!$Z$17,BI5&gt;'ข้อมูลโรงเรียน'!$Z$18),4,IF(WEEKDAY(BI5,2)&gt;5,2,IF(COUNTIF('ข้อมูลโรงเรียน'!$Z$22:$Z$61,BI5)&gt;0,3,1))))</f>
        <v/>
      </c>
      <c r="BJ6">
        <f>IF(BJ5="",0,IF(OR(BJ5&lt;'ข้อมูลโรงเรียน'!$Z$17,BJ5&gt;'ข้อมูลโรงเรียน'!$Z$18),4,IF(WEEKDAY(BJ5,2)&gt;5,2,IF(COUNTIF('ข้อมูลโรงเรียน'!$Z$22:$Z$61,BJ5)&gt;0,3,1))))</f>
        <v/>
      </c>
      <c r="BK6">
        <f>IF(BK5="",0,IF(OR(BK5&lt;'ข้อมูลโรงเรียน'!$Z$17,BK5&gt;'ข้อมูลโรงเรียน'!$Z$18),4,IF(WEEKDAY(BK5,2)&gt;5,2,IF(COUNTIF('ข้อมูลโรงเรียน'!$Z$22:$Z$61,BK5)&gt;0,3,1))))</f>
        <v/>
      </c>
      <c r="BL6">
        <f>IF(BL5="",0,IF(OR(BL5&lt;'ข้อมูลโรงเรียน'!$Z$17,BL5&gt;'ข้อมูลโรงเรียน'!$Z$18),4,IF(WEEKDAY(BL5,2)&gt;5,2,IF(COUNTIF('ข้อมูลโรงเรียน'!$Z$22:$Z$61,BL5)&gt;0,3,1))))</f>
        <v/>
      </c>
      <c r="BM6">
        <f>IF(BM5="",0,IF(OR(BM5&lt;'ข้อมูลโรงเรียน'!$Z$17,BM5&gt;'ข้อมูลโรงเรียน'!$Z$18),4,IF(WEEKDAY(BM5,2)&gt;5,2,IF(COUNTIF('ข้อมูลโรงเรียน'!$Z$22:$Z$61,BM5)&gt;0,3,1))))</f>
        <v/>
      </c>
      <c r="BN6">
        <f>IF(BN5="",0,IF(OR(BN5&lt;'ข้อมูลโรงเรียน'!$Z$17,BN5&gt;'ข้อมูลโรงเรียน'!$Z$18),4,IF(WEEKDAY(BN5,2)&gt;5,2,IF(COUNTIF('ข้อมูลโรงเรียน'!$Z$22:$Z$61,BN5)&gt;0,3,1))))</f>
        <v/>
      </c>
      <c r="BO6">
        <f>IF(BO5="",0,IF(OR(BO5&lt;'ข้อมูลโรงเรียน'!$Z$17,BO5&gt;'ข้อมูลโรงเรียน'!$Z$18),4,IF(WEEKDAY(BO5,2)&gt;5,2,IF(COUNTIF('ข้อมูลโรงเรียน'!$Z$22:$Z$61,BO5)&gt;0,3,1))))</f>
        <v/>
      </c>
      <c r="BP6">
        <f>IF(BP5="",0,IF(OR(BP5&lt;'ข้อมูลโรงเรียน'!$Z$17,BP5&gt;'ข้อมูลโรงเรียน'!$Z$18),4,IF(WEEKDAY(BP5,2)&gt;5,2,IF(COUNTIF('ข้อมูลโรงเรียน'!$Z$22:$Z$61,BP5)&gt;0,3,1))))</f>
        <v/>
      </c>
      <c r="BQ6" t="inlineStr">
        <is>
          <t>s</t>
        </is>
      </c>
      <c r="BR6" t="inlineStr">
        <is>
          <t>s</t>
        </is>
      </c>
      <c r="BS6" t="inlineStr">
        <is>
          <t>s</t>
        </is>
      </c>
      <c r="BT6">
        <f>IF(BT5="",0,IF(OR(BT5&lt;'ข้อมูลโรงเรียน'!$Z$17,BT5&gt;'ข้อมูลโรงเรียน'!$Z$18),4,IF(WEEKDAY(BT5,2)&gt;5,2,IF(COUNTIF('ข้อมูลโรงเรียน'!$Z$22:$Z$61,BT5)&gt;0,3,1))))</f>
        <v/>
      </c>
      <c r="BU6">
        <f>IF(BU5="",0,IF(OR(BU5&lt;'ข้อมูลโรงเรียน'!$Z$17,BU5&gt;'ข้อมูลโรงเรียน'!$Z$18),4,IF(WEEKDAY(BU5,2)&gt;5,2,IF(COUNTIF('ข้อมูลโรงเรียน'!$Z$22:$Z$61,BU5)&gt;0,3,1))))</f>
        <v/>
      </c>
      <c r="BV6">
        <f>IF(BV5="",0,IF(OR(BV5&lt;'ข้อมูลโรงเรียน'!$Z$17,BV5&gt;'ข้อมูลโรงเรียน'!$Z$18),4,IF(WEEKDAY(BV5,2)&gt;5,2,IF(COUNTIF('ข้อมูลโรงเรียน'!$Z$22:$Z$61,BV5)&gt;0,3,1))))</f>
        <v/>
      </c>
      <c r="BW6">
        <f>IF(BW5="",0,IF(OR(BW5&lt;'ข้อมูลโรงเรียน'!$Z$17,BW5&gt;'ข้อมูลโรงเรียน'!$Z$18),4,IF(WEEKDAY(BW5,2)&gt;5,2,IF(COUNTIF('ข้อมูลโรงเรียน'!$Z$22:$Z$61,BW5)&gt;0,3,1))))</f>
        <v/>
      </c>
      <c r="BX6">
        <f>IF(BX5="",0,IF(OR(BX5&lt;'ข้อมูลโรงเรียน'!$Z$17,BX5&gt;'ข้อมูลโรงเรียน'!$Z$18),4,IF(WEEKDAY(BX5,2)&gt;5,2,IF(COUNTIF('ข้อมูลโรงเรียน'!$Z$22:$Z$61,BX5)&gt;0,3,1))))</f>
        <v/>
      </c>
      <c r="BY6">
        <f>IF(BY5="",0,IF(OR(BY5&lt;'ข้อมูลโรงเรียน'!$Z$17,BY5&gt;'ข้อมูลโรงเรียน'!$Z$18),4,IF(WEEKDAY(BY5,2)&gt;5,2,IF(COUNTIF('ข้อมูลโรงเรียน'!$Z$22:$Z$61,BY5)&gt;0,3,1))))</f>
        <v/>
      </c>
      <c r="BZ6">
        <f>IF(BZ5="",0,IF(OR(BZ5&lt;'ข้อมูลโรงเรียน'!$Z$17,BZ5&gt;'ข้อมูลโรงเรียน'!$Z$18),4,IF(WEEKDAY(BZ5,2)&gt;5,2,IF(COUNTIF('ข้อมูลโรงเรียน'!$Z$22:$Z$61,BZ5)&gt;0,3,1))))</f>
        <v/>
      </c>
      <c r="CA6">
        <f>IF(CA5="",0,IF(OR(CA5&lt;'ข้อมูลโรงเรียน'!$Z$17,CA5&gt;'ข้อมูลโรงเรียน'!$Z$18),4,IF(WEEKDAY(CA5,2)&gt;5,2,IF(COUNTIF('ข้อมูลโรงเรียน'!$Z$22:$Z$61,CA5)&gt;0,3,1))))</f>
        <v/>
      </c>
      <c r="CB6">
        <f>IF(CB5="",0,IF(OR(CB5&lt;'ข้อมูลโรงเรียน'!$Z$17,CB5&gt;'ข้อมูลโรงเรียน'!$Z$18),4,IF(WEEKDAY(CB5,2)&gt;5,2,IF(COUNTIF('ข้อมูลโรงเรียน'!$Z$22:$Z$61,CB5)&gt;0,3,1))))</f>
        <v/>
      </c>
      <c r="CC6">
        <f>IF(CC5="",0,IF(OR(CC5&lt;'ข้อมูลโรงเรียน'!$Z$17,CC5&gt;'ข้อมูลโรงเรียน'!$Z$18),4,IF(WEEKDAY(CC5,2)&gt;5,2,IF(COUNTIF('ข้อมูลโรงเรียน'!$Z$22:$Z$61,CC5)&gt;0,3,1))))</f>
        <v/>
      </c>
      <c r="CD6">
        <f>IF(CD5="",0,IF(OR(CD5&lt;'ข้อมูลโรงเรียน'!$Z$17,CD5&gt;'ข้อมูลโรงเรียน'!$Z$18),4,IF(WEEKDAY(CD5,2)&gt;5,2,IF(COUNTIF('ข้อมูลโรงเรียน'!$Z$22:$Z$61,CD5)&gt;0,3,1))))</f>
        <v/>
      </c>
      <c r="CE6">
        <f>IF(CE5="",0,IF(OR(CE5&lt;'ข้อมูลโรงเรียน'!$Z$17,CE5&gt;'ข้อมูลโรงเรียน'!$Z$18),4,IF(WEEKDAY(CE5,2)&gt;5,2,IF(COUNTIF('ข้อมูลโรงเรียน'!$Z$22:$Z$61,CE5)&gt;0,3,1))))</f>
        <v/>
      </c>
      <c r="CF6">
        <f>IF(CF5="",0,IF(OR(CF5&lt;'ข้อมูลโรงเรียน'!$Z$17,CF5&gt;'ข้อมูลโรงเรียน'!$Z$18),4,IF(WEEKDAY(CF5,2)&gt;5,2,IF(COUNTIF('ข้อมูลโรงเรียน'!$Z$22:$Z$61,CF5)&gt;0,3,1))))</f>
        <v/>
      </c>
      <c r="CG6">
        <f>IF(CG5="",0,IF(OR(CG5&lt;'ข้อมูลโรงเรียน'!$Z$17,CG5&gt;'ข้อมูลโรงเรียน'!$Z$18),4,IF(WEEKDAY(CG5,2)&gt;5,2,IF(COUNTIF('ข้อมูลโรงเรียน'!$Z$22:$Z$61,CG5)&gt;0,3,1))))</f>
        <v/>
      </c>
      <c r="CH6">
        <f>IF(CH5="",0,IF(OR(CH5&lt;'ข้อมูลโรงเรียน'!$Z$17,CH5&gt;'ข้อมูลโรงเรียน'!$Z$18),4,IF(WEEKDAY(CH5,2)&gt;5,2,IF(COUNTIF('ข้อมูลโรงเรียน'!$Z$22:$Z$61,CH5)&gt;0,3,1))))</f>
        <v/>
      </c>
      <c r="CI6">
        <f>IF(CI5="",0,IF(OR(CI5&lt;'ข้อมูลโรงเรียน'!$Z$17,CI5&gt;'ข้อมูลโรงเรียน'!$Z$18),4,IF(WEEKDAY(CI5,2)&gt;5,2,IF(COUNTIF('ข้อมูลโรงเรียน'!$Z$22:$Z$61,CI5)&gt;0,3,1))))</f>
        <v/>
      </c>
      <c r="CJ6">
        <f>IF(CJ5="",0,IF(OR(CJ5&lt;'ข้อมูลโรงเรียน'!$Z$17,CJ5&gt;'ข้อมูลโรงเรียน'!$Z$18),4,IF(WEEKDAY(CJ5,2)&gt;5,2,IF(COUNTIF('ข้อมูลโรงเรียน'!$Z$22:$Z$61,CJ5)&gt;0,3,1))))</f>
        <v/>
      </c>
      <c r="CK6">
        <f>IF(CK5="",0,IF(OR(CK5&lt;'ข้อมูลโรงเรียน'!$Z$17,CK5&gt;'ข้อมูลโรงเรียน'!$Z$18),4,IF(WEEKDAY(CK5,2)&gt;5,2,IF(COUNTIF('ข้อมูลโรงเรียน'!$Z$22:$Z$61,CK5)&gt;0,3,1))))</f>
        <v/>
      </c>
      <c r="CL6">
        <f>IF(CL5="",0,IF(OR(CL5&lt;'ข้อมูลโรงเรียน'!$Z$17,CL5&gt;'ข้อมูลโรงเรียน'!$Z$18),4,IF(WEEKDAY(CL5,2)&gt;5,2,IF(COUNTIF('ข้อมูลโรงเรียน'!$Z$22:$Z$61,CL5)&gt;0,3,1))))</f>
        <v/>
      </c>
      <c r="CM6">
        <f>IF(CM5="",0,IF(OR(CM5&lt;'ข้อมูลโรงเรียน'!$Z$17,CM5&gt;'ข้อมูลโรงเรียน'!$Z$18),4,IF(WEEKDAY(CM5,2)&gt;5,2,IF(COUNTIF('ข้อมูลโรงเรียน'!$Z$22:$Z$61,CM5)&gt;0,3,1))))</f>
        <v/>
      </c>
      <c r="CN6">
        <f>IF(CN5="",0,IF(OR(CN5&lt;'ข้อมูลโรงเรียน'!$Z$17,CN5&gt;'ข้อมูลโรงเรียน'!$Z$18),4,IF(WEEKDAY(CN5,2)&gt;5,2,IF(COUNTIF('ข้อมูลโรงเรียน'!$Z$22:$Z$61,CN5)&gt;0,3,1))))</f>
        <v/>
      </c>
      <c r="CO6">
        <f>IF(CO5="",0,IF(OR(CO5&lt;'ข้อมูลโรงเรียน'!$Z$17,CO5&gt;'ข้อมูลโรงเรียน'!$Z$18),4,IF(WEEKDAY(CO5,2)&gt;5,2,IF(COUNTIF('ข้อมูลโรงเรียน'!$Z$22:$Z$61,CO5)&gt;0,3,1))))</f>
        <v/>
      </c>
      <c r="CP6">
        <f>IF(CP5="",0,IF(OR(CP5&lt;'ข้อมูลโรงเรียน'!$Z$17,CP5&gt;'ข้อมูลโรงเรียน'!$Z$18),4,IF(WEEKDAY(CP5,2)&gt;5,2,IF(COUNTIF('ข้อมูลโรงเรียน'!$Z$22:$Z$61,CP5)&gt;0,3,1))))</f>
        <v/>
      </c>
      <c r="CQ6">
        <f>IF(CQ5="",0,IF(OR(CQ5&lt;'ข้อมูลโรงเรียน'!$Z$17,CQ5&gt;'ข้อมูลโรงเรียน'!$Z$18),4,IF(WEEKDAY(CQ5,2)&gt;5,2,IF(COUNTIF('ข้อมูลโรงเรียน'!$Z$22:$Z$61,CQ5)&gt;0,3,1))))</f>
        <v/>
      </c>
      <c r="CR6">
        <f>IF(CR5="",0,IF(OR(CR5&lt;'ข้อมูลโรงเรียน'!$Z$17,CR5&gt;'ข้อมูลโรงเรียน'!$Z$18),4,IF(WEEKDAY(CR5,2)&gt;5,2,IF(COUNTIF('ข้อมูลโรงเรียน'!$Z$22:$Z$61,CR5)&gt;0,3,1))))</f>
        <v/>
      </c>
      <c r="CS6">
        <f>IF(CS5="",0,IF(OR(CS5&lt;'ข้อมูลโรงเรียน'!$Z$17,CS5&gt;'ข้อมูลโรงเรียน'!$Z$18),4,IF(WEEKDAY(CS5,2)&gt;5,2,IF(COUNTIF('ข้อมูลโรงเรียน'!$Z$22:$Z$61,CS5)&gt;0,3,1))))</f>
        <v/>
      </c>
      <c r="CT6">
        <f>IF(CT5="",0,IF(OR(CT5&lt;'ข้อมูลโรงเรียน'!$Z$17,CT5&gt;'ข้อมูลโรงเรียน'!$Z$18),4,IF(WEEKDAY(CT5,2)&gt;5,2,IF(COUNTIF('ข้อมูลโรงเรียน'!$Z$22:$Z$61,CT5)&gt;0,3,1))))</f>
        <v/>
      </c>
      <c r="CU6">
        <f>IF(CU5="",0,IF(OR(CU5&lt;'ข้อมูลโรงเรียน'!$Z$17,CU5&gt;'ข้อมูลโรงเรียน'!$Z$18),4,IF(WEEKDAY(CU5,2)&gt;5,2,IF(COUNTIF('ข้อมูลโรงเรียน'!$Z$22:$Z$61,CU5)&gt;0,3,1))))</f>
        <v/>
      </c>
      <c r="CV6">
        <f>IF(CV5="",0,IF(OR(CV5&lt;'ข้อมูลโรงเรียน'!$Z$17,CV5&gt;'ข้อมูลโรงเรียน'!$Z$18),4,IF(WEEKDAY(CV5,2)&gt;5,2,IF(COUNTIF('ข้อมูลโรงเรียน'!$Z$22:$Z$61,CV5)&gt;0,3,1))))</f>
        <v/>
      </c>
      <c r="CW6">
        <f>IF(CW5="",0,IF(OR(CW5&lt;'ข้อมูลโรงเรียน'!$Z$17,CW5&gt;'ข้อมูลโรงเรียน'!$Z$18),4,IF(WEEKDAY(CW5,2)&gt;5,2,IF(COUNTIF('ข้อมูลโรงเรียน'!$Z$22:$Z$61,CW5)&gt;0,3,1))))</f>
        <v/>
      </c>
      <c r="CX6">
        <f>IF(CX5="",0,IF(OR(CX5&lt;'ข้อมูลโรงเรียน'!$Z$17,CX5&gt;'ข้อมูลโรงเรียน'!$Z$18),4,IF(WEEKDAY(CX5,2)&gt;5,2,IF(COUNTIF('ข้อมูลโรงเรียน'!$Z$22:$Z$61,CX5)&gt;0,3,1))))</f>
        <v/>
      </c>
      <c r="CY6" t="inlineStr">
        <is>
          <t>s</t>
        </is>
      </c>
      <c r="CZ6" t="inlineStr">
        <is>
          <t>s</t>
        </is>
      </c>
      <c r="DA6" t="inlineStr">
        <is>
          <t>s</t>
        </is>
      </c>
      <c r="DB6">
        <f>IF(DB5="",0,IF(OR(DB5&lt;'ข้อมูลโรงเรียน'!$Z$17,DB5&gt;'ข้อมูลโรงเรียน'!$Z$18),4,IF(WEEKDAY(DB5,2)&gt;5,2,IF(COUNTIF('ข้อมูลโรงเรียน'!$Z$22:$Z$61,DB5)&gt;0,3,1))))</f>
        <v/>
      </c>
      <c r="DC6">
        <f>IF(DC5="",0,IF(OR(DC5&lt;'ข้อมูลโรงเรียน'!$Z$17,DC5&gt;'ข้อมูลโรงเรียน'!$Z$18),4,IF(WEEKDAY(DC5,2)&gt;5,2,IF(COUNTIF('ข้อมูลโรงเรียน'!$Z$22:$Z$61,DC5)&gt;0,3,1))))</f>
        <v/>
      </c>
      <c r="DD6">
        <f>IF(DD5="",0,IF(OR(DD5&lt;'ข้อมูลโรงเรียน'!$Z$17,DD5&gt;'ข้อมูลโรงเรียน'!$Z$18),4,IF(WEEKDAY(DD5,2)&gt;5,2,IF(COUNTIF('ข้อมูลโรงเรียน'!$Z$22:$Z$61,DD5)&gt;0,3,1))))</f>
        <v/>
      </c>
      <c r="DE6">
        <f>IF(DE5="",0,IF(OR(DE5&lt;'ข้อมูลโรงเรียน'!$Z$17,DE5&gt;'ข้อมูลโรงเรียน'!$Z$18),4,IF(WEEKDAY(DE5,2)&gt;5,2,IF(COUNTIF('ข้อมูลโรงเรียน'!$Z$22:$Z$61,DE5)&gt;0,3,1))))</f>
        <v/>
      </c>
      <c r="DF6">
        <f>IF(DF5="",0,IF(OR(DF5&lt;'ข้อมูลโรงเรียน'!$Z$17,DF5&gt;'ข้อมูลโรงเรียน'!$Z$18),4,IF(WEEKDAY(DF5,2)&gt;5,2,IF(COUNTIF('ข้อมูลโรงเรียน'!$Z$22:$Z$61,DF5)&gt;0,3,1))))</f>
        <v/>
      </c>
      <c r="DG6">
        <f>IF(DG5="",0,IF(OR(DG5&lt;'ข้อมูลโรงเรียน'!$Z$17,DG5&gt;'ข้อมูลโรงเรียน'!$Z$18),4,IF(WEEKDAY(DG5,2)&gt;5,2,IF(COUNTIF('ข้อมูลโรงเรียน'!$Z$22:$Z$61,DG5)&gt;0,3,1))))</f>
        <v/>
      </c>
      <c r="DH6">
        <f>IF(DH5="",0,IF(OR(DH5&lt;'ข้อมูลโรงเรียน'!$Z$17,DH5&gt;'ข้อมูลโรงเรียน'!$Z$18),4,IF(WEEKDAY(DH5,2)&gt;5,2,IF(COUNTIF('ข้อมูลโรงเรียน'!$Z$22:$Z$61,DH5)&gt;0,3,1))))</f>
        <v/>
      </c>
      <c r="DI6">
        <f>IF(DI5="",0,IF(OR(DI5&lt;'ข้อมูลโรงเรียน'!$Z$17,DI5&gt;'ข้อมูลโรงเรียน'!$Z$18),4,IF(WEEKDAY(DI5,2)&gt;5,2,IF(COUNTIF('ข้อมูลโรงเรียน'!$Z$22:$Z$61,DI5)&gt;0,3,1))))</f>
        <v/>
      </c>
      <c r="DJ6">
        <f>IF(DJ5="",0,IF(OR(DJ5&lt;'ข้อมูลโรงเรียน'!$Z$17,DJ5&gt;'ข้อมูลโรงเรียน'!$Z$18),4,IF(WEEKDAY(DJ5,2)&gt;5,2,IF(COUNTIF('ข้อมูลโรงเรียน'!$Z$22:$Z$61,DJ5)&gt;0,3,1))))</f>
        <v/>
      </c>
      <c r="DK6">
        <f>IF(DK5="",0,IF(OR(DK5&lt;'ข้อมูลโรงเรียน'!$Z$17,DK5&gt;'ข้อมูลโรงเรียน'!$Z$18),4,IF(WEEKDAY(DK5,2)&gt;5,2,IF(COUNTIF('ข้อมูลโรงเรียน'!$Z$22:$Z$61,DK5)&gt;0,3,1))))</f>
        <v/>
      </c>
      <c r="DL6">
        <f>IF(DL5="",0,IF(OR(DL5&lt;'ข้อมูลโรงเรียน'!$Z$17,DL5&gt;'ข้อมูลโรงเรียน'!$Z$18),4,IF(WEEKDAY(DL5,2)&gt;5,2,IF(COUNTIF('ข้อมูลโรงเรียน'!$Z$22:$Z$61,DL5)&gt;0,3,1))))</f>
        <v/>
      </c>
      <c r="DM6">
        <f>IF(DM5="",0,IF(OR(DM5&lt;'ข้อมูลโรงเรียน'!$Z$17,DM5&gt;'ข้อมูลโรงเรียน'!$Z$18),4,IF(WEEKDAY(DM5,2)&gt;5,2,IF(COUNTIF('ข้อมูลโรงเรียน'!$Z$22:$Z$61,DM5)&gt;0,3,1))))</f>
        <v/>
      </c>
      <c r="DN6">
        <f>IF(DN5="",0,IF(OR(DN5&lt;'ข้อมูลโรงเรียน'!$Z$17,DN5&gt;'ข้อมูลโรงเรียน'!$Z$18),4,IF(WEEKDAY(DN5,2)&gt;5,2,IF(COUNTIF('ข้อมูลโรงเรียน'!$Z$22:$Z$61,DN5)&gt;0,3,1))))</f>
        <v/>
      </c>
      <c r="DO6">
        <f>IF(DO5="",0,IF(OR(DO5&lt;'ข้อมูลโรงเรียน'!$Z$17,DO5&gt;'ข้อมูลโรงเรียน'!$Z$18),4,IF(WEEKDAY(DO5,2)&gt;5,2,IF(COUNTIF('ข้อมูลโรงเรียน'!$Z$22:$Z$61,DO5)&gt;0,3,1))))</f>
        <v/>
      </c>
      <c r="DP6">
        <f>IF(DP5="",0,IF(OR(DP5&lt;'ข้อมูลโรงเรียน'!$Z$17,DP5&gt;'ข้อมูลโรงเรียน'!$Z$18),4,IF(WEEKDAY(DP5,2)&gt;5,2,IF(COUNTIF('ข้อมูลโรงเรียน'!$Z$22:$Z$61,DP5)&gt;0,3,1))))</f>
        <v/>
      </c>
      <c r="DQ6">
        <f>IF(DQ5="",0,IF(OR(DQ5&lt;'ข้อมูลโรงเรียน'!$Z$17,DQ5&gt;'ข้อมูลโรงเรียน'!$Z$18),4,IF(WEEKDAY(DQ5,2)&gt;5,2,IF(COUNTIF('ข้อมูลโรงเรียน'!$Z$22:$Z$61,DQ5)&gt;0,3,1))))</f>
        <v/>
      </c>
      <c r="DR6">
        <f>IF(DR5="",0,IF(OR(DR5&lt;'ข้อมูลโรงเรียน'!$Z$17,DR5&gt;'ข้อมูลโรงเรียน'!$Z$18),4,IF(WEEKDAY(DR5,2)&gt;5,2,IF(COUNTIF('ข้อมูลโรงเรียน'!$Z$22:$Z$61,DR5)&gt;0,3,1))))</f>
        <v/>
      </c>
      <c r="DS6">
        <f>IF(DS5="",0,IF(OR(DS5&lt;'ข้อมูลโรงเรียน'!$Z$17,DS5&gt;'ข้อมูลโรงเรียน'!$Z$18),4,IF(WEEKDAY(DS5,2)&gt;5,2,IF(COUNTIF('ข้อมูลโรงเรียน'!$Z$22:$Z$61,DS5)&gt;0,3,1))))</f>
        <v/>
      </c>
      <c r="DT6">
        <f>IF(DT5="",0,IF(OR(DT5&lt;'ข้อมูลโรงเรียน'!$Z$17,DT5&gt;'ข้อมูลโรงเรียน'!$Z$18),4,IF(WEEKDAY(DT5,2)&gt;5,2,IF(COUNTIF('ข้อมูลโรงเรียน'!$Z$22:$Z$61,DT5)&gt;0,3,1))))</f>
        <v/>
      </c>
      <c r="DU6">
        <f>IF(DU5="",0,IF(OR(DU5&lt;'ข้อมูลโรงเรียน'!$Z$17,DU5&gt;'ข้อมูลโรงเรียน'!$Z$18),4,IF(WEEKDAY(DU5,2)&gt;5,2,IF(COUNTIF('ข้อมูลโรงเรียน'!$Z$22:$Z$61,DU5)&gt;0,3,1))))</f>
        <v/>
      </c>
      <c r="DV6">
        <f>IF(DV5="",0,IF(OR(DV5&lt;'ข้อมูลโรงเรียน'!$Z$17,DV5&gt;'ข้อมูลโรงเรียน'!$Z$18),4,IF(WEEKDAY(DV5,2)&gt;5,2,IF(COUNTIF('ข้อมูลโรงเรียน'!$Z$22:$Z$61,DV5)&gt;0,3,1))))</f>
        <v/>
      </c>
      <c r="DW6">
        <f>IF(DW5="",0,IF(OR(DW5&lt;'ข้อมูลโรงเรียน'!$Z$17,DW5&gt;'ข้อมูลโรงเรียน'!$Z$18),4,IF(WEEKDAY(DW5,2)&gt;5,2,IF(COUNTIF('ข้อมูลโรงเรียน'!$Z$22:$Z$61,DW5)&gt;0,3,1))))</f>
        <v/>
      </c>
      <c r="DX6">
        <f>IF(DX5="",0,IF(OR(DX5&lt;'ข้อมูลโรงเรียน'!$Z$17,DX5&gt;'ข้อมูลโรงเรียน'!$Z$18),4,IF(WEEKDAY(DX5,2)&gt;5,2,IF(COUNTIF('ข้อมูลโรงเรียน'!$Z$22:$Z$61,DX5)&gt;0,3,1))))</f>
        <v/>
      </c>
      <c r="DY6">
        <f>IF(DY5="",0,IF(OR(DY5&lt;'ข้อมูลโรงเรียน'!$Z$17,DY5&gt;'ข้อมูลโรงเรียน'!$Z$18),4,IF(WEEKDAY(DY5,2)&gt;5,2,IF(COUNTIF('ข้อมูลโรงเรียน'!$Z$22:$Z$61,DY5)&gt;0,3,1))))</f>
        <v/>
      </c>
      <c r="DZ6">
        <f>IF(DZ5="",0,IF(OR(DZ5&lt;'ข้อมูลโรงเรียน'!$Z$17,DZ5&gt;'ข้อมูลโรงเรียน'!$Z$18),4,IF(WEEKDAY(DZ5,2)&gt;5,2,IF(COUNTIF('ข้อมูลโรงเรียน'!$Z$22:$Z$61,DZ5)&gt;0,3,1))))</f>
        <v/>
      </c>
      <c r="EA6">
        <f>IF(EA5="",0,IF(OR(EA5&lt;'ข้อมูลโรงเรียน'!$Z$17,EA5&gt;'ข้อมูลโรงเรียน'!$Z$18),4,IF(WEEKDAY(EA5,2)&gt;5,2,IF(COUNTIF('ข้อมูลโรงเรียน'!$Z$22:$Z$61,EA5)&gt;0,3,1))))</f>
        <v/>
      </c>
      <c r="EB6">
        <f>IF(EB5="",0,IF(OR(EB5&lt;'ข้อมูลโรงเรียน'!$Z$17,EB5&gt;'ข้อมูลโรงเรียน'!$Z$18),4,IF(WEEKDAY(EB5,2)&gt;5,2,IF(COUNTIF('ข้อมูลโรงเรียน'!$Z$22:$Z$61,EB5)&gt;0,3,1))))</f>
        <v/>
      </c>
      <c r="EC6">
        <f>IF(EC5="",0,IF(OR(EC5&lt;'ข้อมูลโรงเรียน'!$Z$17,EC5&gt;'ข้อมูลโรงเรียน'!$Z$18),4,IF(WEEKDAY(EC5,2)&gt;5,2,IF(COUNTIF('ข้อมูลโรงเรียน'!$Z$22:$Z$61,EC5)&gt;0,3,1))))</f>
        <v/>
      </c>
      <c r="ED6">
        <f>IF(ED5="",0,IF(OR(ED5&lt;'ข้อมูลโรงเรียน'!$Z$17,ED5&gt;'ข้อมูลโรงเรียน'!$Z$18),4,IF(WEEKDAY(ED5,2)&gt;5,2,IF(COUNTIF('ข้อมูลโรงเรียน'!$Z$22:$Z$61,ED5)&gt;0,3,1))))</f>
        <v/>
      </c>
      <c r="EE6">
        <f>IF(EE5="",0,IF(OR(EE5&lt;'ข้อมูลโรงเรียน'!$Z$17,EE5&gt;'ข้อมูลโรงเรียน'!$Z$18),4,IF(WEEKDAY(EE5,2)&gt;5,2,IF(COUNTIF('ข้อมูลโรงเรียน'!$Z$22:$Z$61,EE5)&gt;0,3,1))))</f>
        <v/>
      </c>
      <c r="EF6">
        <f>IF(EF5="",0,IF(OR(EF5&lt;'ข้อมูลโรงเรียน'!$Z$17,EF5&gt;'ข้อมูลโรงเรียน'!$Z$18),4,IF(WEEKDAY(EF5,2)&gt;5,2,IF(COUNTIF('ข้อมูลโรงเรียน'!$Z$22:$Z$61,EF5)&gt;0,3,1))))</f>
        <v/>
      </c>
      <c r="EG6" t="inlineStr">
        <is>
          <t>s</t>
        </is>
      </c>
      <c r="EH6" t="inlineStr">
        <is>
          <t>s</t>
        </is>
      </c>
      <c r="EI6" t="inlineStr">
        <is>
          <t>s</t>
        </is>
      </c>
      <c r="EJ6">
        <f>IF(EJ5="",0,IF(OR(EJ5&lt;'ข้อมูลโรงเรียน'!$Z$17,EJ5&gt;'ข้อมูลโรงเรียน'!$Z$18),4,IF(WEEKDAY(EJ5,2)&gt;5,2,IF(COUNTIF('ข้อมูลโรงเรียน'!$Z$22:$Z$61,EJ5)&gt;0,3,1))))</f>
        <v/>
      </c>
      <c r="EK6">
        <f>IF(EK5="",0,IF(OR(EK5&lt;'ข้อมูลโรงเรียน'!$Z$17,EK5&gt;'ข้อมูลโรงเรียน'!$Z$18),4,IF(WEEKDAY(EK5,2)&gt;5,2,IF(COUNTIF('ข้อมูลโรงเรียน'!$Z$22:$Z$61,EK5)&gt;0,3,1))))</f>
        <v/>
      </c>
      <c r="EL6">
        <f>IF(EL5="",0,IF(OR(EL5&lt;'ข้อมูลโรงเรียน'!$Z$17,EL5&gt;'ข้อมูลโรงเรียน'!$Z$18),4,IF(WEEKDAY(EL5,2)&gt;5,2,IF(COUNTIF('ข้อมูลโรงเรียน'!$Z$22:$Z$61,EL5)&gt;0,3,1))))</f>
        <v/>
      </c>
      <c r="EM6">
        <f>IF(EM5="",0,IF(OR(EM5&lt;'ข้อมูลโรงเรียน'!$Z$17,EM5&gt;'ข้อมูลโรงเรียน'!$Z$18),4,IF(WEEKDAY(EM5,2)&gt;5,2,IF(COUNTIF('ข้อมูลโรงเรียน'!$Z$22:$Z$61,EM5)&gt;0,3,1))))</f>
        <v/>
      </c>
      <c r="EN6">
        <f>IF(EN5="",0,IF(OR(EN5&lt;'ข้อมูลโรงเรียน'!$Z$17,EN5&gt;'ข้อมูลโรงเรียน'!$Z$18),4,IF(WEEKDAY(EN5,2)&gt;5,2,IF(COUNTIF('ข้อมูลโรงเรียน'!$Z$22:$Z$61,EN5)&gt;0,3,1))))</f>
        <v/>
      </c>
      <c r="EO6">
        <f>IF(EO5="",0,IF(OR(EO5&lt;'ข้อมูลโรงเรียน'!$Z$17,EO5&gt;'ข้อมูลโรงเรียน'!$Z$18),4,IF(WEEKDAY(EO5,2)&gt;5,2,IF(COUNTIF('ข้อมูลโรงเรียน'!$Z$22:$Z$61,EO5)&gt;0,3,1))))</f>
        <v/>
      </c>
      <c r="EP6">
        <f>IF(EP5="",0,IF(OR(EP5&lt;'ข้อมูลโรงเรียน'!$Z$17,EP5&gt;'ข้อมูลโรงเรียน'!$Z$18),4,IF(WEEKDAY(EP5,2)&gt;5,2,IF(COUNTIF('ข้อมูลโรงเรียน'!$Z$22:$Z$61,EP5)&gt;0,3,1))))</f>
        <v/>
      </c>
      <c r="EQ6">
        <f>IF(EQ5="",0,IF(OR(EQ5&lt;'ข้อมูลโรงเรียน'!$Z$17,EQ5&gt;'ข้อมูลโรงเรียน'!$Z$18),4,IF(WEEKDAY(EQ5,2)&gt;5,2,IF(COUNTIF('ข้อมูลโรงเรียน'!$Z$22:$Z$61,EQ5)&gt;0,3,1))))</f>
        <v/>
      </c>
      <c r="ER6">
        <f>IF(ER5="",0,IF(OR(ER5&lt;'ข้อมูลโรงเรียน'!$Z$17,ER5&gt;'ข้อมูลโรงเรียน'!$Z$18),4,IF(WEEKDAY(ER5,2)&gt;5,2,IF(COUNTIF('ข้อมูลโรงเรียน'!$Z$22:$Z$61,ER5)&gt;0,3,1))))</f>
        <v/>
      </c>
      <c r="ES6">
        <f>IF(ES5="",0,IF(OR(ES5&lt;'ข้อมูลโรงเรียน'!$Z$17,ES5&gt;'ข้อมูลโรงเรียน'!$Z$18),4,IF(WEEKDAY(ES5,2)&gt;5,2,IF(COUNTIF('ข้อมูลโรงเรียน'!$Z$22:$Z$61,ES5)&gt;0,3,1))))</f>
        <v/>
      </c>
      <c r="ET6">
        <f>IF(ET5="",0,IF(OR(ET5&lt;'ข้อมูลโรงเรียน'!$Z$17,ET5&gt;'ข้อมูลโรงเรียน'!$Z$18),4,IF(WEEKDAY(ET5,2)&gt;5,2,IF(COUNTIF('ข้อมูลโรงเรียน'!$Z$22:$Z$61,ET5)&gt;0,3,1))))</f>
        <v/>
      </c>
      <c r="EU6">
        <f>IF(EU5="",0,IF(OR(EU5&lt;'ข้อมูลโรงเรียน'!$Z$17,EU5&gt;'ข้อมูลโรงเรียน'!$Z$18),4,IF(WEEKDAY(EU5,2)&gt;5,2,IF(COUNTIF('ข้อมูลโรงเรียน'!$Z$22:$Z$61,EU5)&gt;0,3,1))))</f>
        <v/>
      </c>
      <c r="EV6">
        <f>IF(EV5="",0,IF(OR(EV5&lt;'ข้อมูลโรงเรียน'!$Z$17,EV5&gt;'ข้อมูลโรงเรียน'!$Z$18),4,IF(WEEKDAY(EV5,2)&gt;5,2,IF(COUNTIF('ข้อมูลโรงเรียน'!$Z$22:$Z$61,EV5)&gt;0,3,1))))</f>
        <v/>
      </c>
      <c r="EW6">
        <f>IF(EW5="",0,IF(OR(EW5&lt;'ข้อมูลโรงเรียน'!$Z$17,EW5&gt;'ข้อมูลโรงเรียน'!$Z$18),4,IF(WEEKDAY(EW5,2)&gt;5,2,IF(COUNTIF('ข้อมูลโรงเรียน'!$Z$22:$Z$61,EW5)&gt;0,3,1))))</f>
        <v/>
      </c>
      <c r="EX6">
        <f>IF(EX5="",0,IF(OR(EX5&lt;'ข้อมูลโรงเรียน'!$Z$17,EX5&gt;'ข้อมูลโรงเรียน'!$Z$18),4,IF(WEEKDAY(EX5,2)&gt;5,2,IF(COUNTIF('ข้อมูลโรงเรียน'!$Z$22:$Z$61,EX5)&gt;0,3,1))))</f>
        <v/>
      </c>
      <c r="EY6">
        <f>IF(EY5="",0,IF(OR(EY5&lt;'ข้อมูลโรงเรียน'!$Z$17,EY5&gt;'ข้อมูลโรงเรียน'!$Z$18),4,IF(WEEKDAY(EY5,2)&gt;5,2,IF(COUNTIF('ข้อมูลโรงเรียน'!$Z$22:$Z$61,EY5)&gt;0,3,1))))</f>
        <v/>
      </c>
      <c r="EZ6">
        <f>IF(EZ5="",0,IF(OR(EZ5&lt;'ข้อมูลโรงเรียน'!$Z$17,EZ5&gt;'ข้อมูลโรงเรียน'!$Z$18),4,IF(WEEKDAY(EZ5,2)&gt;5,2,IF(COUNTIF('ข้อมูลโรงเรียน'!$Z$22:$Z$61,EZ5)&gt;0,3,1))))</f>
        <v/>
      </c>
      <c r="FA6">
        <f>IF(FA5="",0,IF(OR(FA5&lt;'ข้อมูลโรงเรียน'!$Z$17,FA5&gt;'ข้อมูลโรงเรียน'!$Z$18),4,IF(WEEKDAY(FA5,2)&gt;5,2,IF(COUNTIF('ข้อมูลโรงเรียน'!$Z$22:$Z$61,FA5)&gt;0,3,1))))</f>
        <v/>
      </c>
      <c r="FB6">
        <f>IF(FB5="",0,IF(OR(FB5&lt;'ข้อมูลโรงเรียน'!$Z$17,FB5&gt;'ข้อมูลโรงเรียน'!$Z$18),4,IF(WEEKDAY(FB5,2)&gt;5,2,IF(COUNTIF('ข้อมูลโรงเรียน'!$Z$22:$Z$61,FB5)&gt;0,3,1))))</f>
        <v/>
      </c>
      <c r="FC6">
        <f>IF(FC5="",0,IF(OR(FC5&lt;'ข้อมูลโรงเรียน'!$Z$17,FC5&gt;'ข้อมูลโรงเรียน'!$Z$18),4,IF(WEEKDAY(FC5,2)&gt;5,2,IF(COUNTIF('ข้อมูลโรงเรียน'!$Z$22:$Z$61,FC5)&gt;0,3,1))))</f>
        <v/>
      </c>
      <c r="FD6">
        <f>IF(FD5="",0,IF(OR(FD5&lt;'ข้อมูลโรงเรียน'!$Z$17,FD5&gt;'ข้อมูลโรงเรียน'!$Z$18),4,IF(WEEKDAY(FD5,2)&gt;5,2,IF(COUNTIF('ข้อมูลโรงเรียน'!$Z$22:$Z$61,FD5)&gt;0,3,1))))</f>
        <v/>
      </c>
      <c r="FE6">
        <f>IF(FE5="",0,IF(OR(FE5&lt;'ข้อมูลโรงเรียน'!$Z$17,FE5&gt;'ข้อมูลโรงเรียน'!$Z$18),4,IF(WEEKDAY(FE5,2)&gt;5,2,IF(COUNTIF('ข้อมูลโรงเรียน'!$Z$22:$Z$61,FE5)&gt;0,3,1))))</f>
        <v/>
      </c>
      <c r="FF6">
        <f>IF(FF5="",0,IF(OR(FF5&lt;'ข้อมูลโรงเรียน'!$Z$17,FF5&gt;'ข้อมูลโรงเรียน'!$Z$18),4,IF(WEEKDAY(FF5,2)&gt;5,2,IF(COUNTIF('ข้อมูลโรงเรียน'!$Z$22:$Z$61,FF5)&gt;0,3,1))))</f>
        <v/>
      </c>
      <c r="FG6">
        <f>IF(FG5="",0,IF(OR(FG5&lt;'ข้อมูลโรงเรียน'!$Z$17,FG5&gt;'ข้อมูลโรงเรียน'!$Z$18),4,IF(WEEKDAY(FG5,2)&gt;5,2,IF(COUNTIF('ข้อมูลโรงเรียน'!$Z$22:$Z$61,FG5)&gt;0,3,1))))</f>
        <v/>
      </c>
      <c r="FH6">
        <f>IF(FH5="",0,IF(OR(FH5&lt;'ข้อมูลโรงเรียน'!$Z$17,FH5&gt;'ข้อมูลโรงเรียน'!$Z$18),4,IF(WEEKDAY(FH5,2)&gt;5,2,IF(COUNTIF('ข้อมูลโรงเรียน'!$Z$22:$Z$61,FH5)&gt;0,3,1))))</f>
        <v/>
      </c>
      <c r="FI6">
        <f>IF(FI5="",0,IF(OR(FI5&lt;'ข้อมูลโรงเรียน'!$Z$17,FI5&gt;'ข้อมูลโรงเรียน'!$Z$18),4,IF(WEEKDAY(FI5,2)&gt;5,2,IF(COUNTIF('ข้อมูลโรงเรียน'!$Z$22:$Z$61,FI5)&gt;0,3,1))))</f>
        <v/>
      </c>
      <c r="FJ6">
        <f>IF(FJ5="",0,IF(OR(FJ5&lt;'ข้อมูลโรงเรียน'!$Z$17,FJ5&gt;'ข้อมูลโรงเรียน'!$Z$18),4,IF(WEEKDAY(FJ5,2)&gt;5,2,IF(COUNTIF('ข้อมูลโรงเรียน'!$Z$22:$Z$61,FJ5)&gt;0,3,1))))</f>
        <v/>
      </c>
      <c r="FK6">
        <f>IF(FK5="",0,IF(OR(FK5&lt;'ข้อมูลโรงเรียน'!$Z$17,FK5&gt;'ข้อมูลโรงเรียน'!$Z$18),4,IF(WEEKDAY(FK5,2)&gt;5,2,IF(COUNTIF('ข้อมูลโรงเรียน'!$Z$22:$Z$61,FK5)&gt;0,3,1))))</f>
        <v/>
      </c>
      <c r="FL6">
        <f>IF(FL5="",0,IF(OR(FL5&lt;'ข้อมูลโรงเรียน'!$Z$17,FL5&gt;'ข้อมูลโรงเรียน'!$Z$18),4,IF(WEEKDAY(FL5,2)&gt;5,2,IF(COUNTIF('ข้อมูลโรงเรียน'!$Z$22:$Z$61,FL5)&gt;0,3,1))))</f>
        <v/>
      </c>
      <c r="FM6">
        <f>IF(FM5="",0,IF(OR(FM5&lt;'ข้อมูลโรงเรียน'!$Z$17,FM5&gt;'ข้อมูลโรงเรียน'!$Z$18),4,IF(WEEKDAY(FM5,2)&gt;5,2,IF(COUNTIF('ข้อมูลโรงเรียน'!$Z$22:$Z$61,FM5)&gt;0,3,1))))</f>
        <v/>
      </c>
      <c r="FN6">
        <f>IF(FN5="",0,IF(OR(FN5&lt;'ข้อมูลโรงเรียน'!$Z$17,FN5&gt;'ข้อมูลโรงเรียน'!$Z$18),4,IF(WEEKDAY(FN5,2)&gt;5,2,IF(COUNTIF('ข้อมูลโรงเรียน'!$Z$22:$Z$61,FN5)&gt;0,3,1))))</f>
        <v/>
      </c>
      <c r="FO6" t="inlineStr">
        <is>
          <t>s</t>
        </is>
      </c>
      <c r="FP6" t="inlineStr">
        <is>
          <t>s</t>
        </is>
      </c>
      <c r="FQ6" t="inlineStr">
        <is>
          <t>s</t>
        </is>
      </c>
    </row>
    <row r="7">
      <c r="A7" t="inlineStr">
        <is>
          <t>ภ2 วันหยุด</t>
        </is>
      </c>
      <c r="D7">
        <f>IF(D6=3,INDEX('ข้อมูลโรงเรียน'!$B$22:$B$61,MATCH(D5,'ข้อมูลโรงเรียน'!$Z$22:$Z$61,0)),"")</f>
        <v/>
      </c>
      <c r="E7">
        <f>IF(E6=3,INDEX('ข้อมูลโรงเรียน'!$B$22:$B$61,MATCH(E5,'ข้อมูลโรงเรียน'!$Z$22:$Z$61,0)),"")</f>
        <v/>
      </c>
      <c r="F7">
        <f>IF(F6=3,INDEX('ข้อมูลโรงเรียน'!$B$22:$B$61,MATCH(F5,'ข้อมูลโรงเรียน'!$Z$22:$Z$61,0)),"")</f>
        <v/>
      </c>
      <c r="G7">
        <f>IF(G6=3,INDEX('ข้อมูลโรงเรียน'!$B$22:$B$61,MATCH(G5,'ข้อมูลโรงเรียน'!$Z$22:$Z$61,0)),"")</f>
        <v/>
      </c>
      <c r="H7">
        <f>IF(H6=3,INDEX('ข้อมูลโรงเรียน'!$B$22:$B$61,MATCH(H5,'ข้อมูลโรงเรียน'!$Z$22:$Z$61,0)),"")</f>
        <v/>
      </c>
      <c r="I7">
        <f>IF(I6=3,INDEX('ข้อมูลโรงเรียน'!$B$22:$B$61,MATCH(I5,'ข้อมูลโรงเรียน'!$Z$22:$Z$61,0)),"")</f>
        <v/>
      </c>
      <c r="J7">
        <f>IF(J6=3,INDEX('ข้อมูลโรงเรียน'!$B$22:$B$61,MATCH(J5,'ข้อมูลโรงเรียน'!$Z$22:$Z$61,0)),"")</f>
        <v/>
      </c>
      <c r="K7">
        <f>IF(K6=3,INDEX('ข้อมูลโรงเรียน'!$B$22:$B$61,MATCH(K5,'ข้อมูลโรงเรียน'!$Z$22:$Z$61,0)),"")</f>
        <v/>
      </c>
      <c r="L7">
        <f>IF(L6=3,INDEX('ข้อมูลโรงเรียน'!$B$22:$B$61,MATCH(L5,'ข้อมูลโรงเรียน'!$Z$22:$Z$61,0)),"")</f>
        <v/>
      </c>
      <c r="M7">
        <f>IF(M6=3,INDEX('ข้อมูลโรงเรียน'!$B$22:$B$61,MATCH(M5,'ข้อมูลโรงเรียน'!$Z$22:$Z$61,0)),"")</f>
        <v/>
      </c>
      <c r="N7">
        <f>IF(N6=3,INDEX('ข้อมูลโรงเรียน'!$B$22:$B$61,MATCH(N5,'ข้อมูลโรงเรียน'!$Z$22:$Z$61,0)),"")</f>
        <v/>
      </c>
      <c r="O7">
        <f>IF(O6=3,INDEX('ข้อมูลโรงเรียน'!$B$22:$B$61,MATCH(O5,'ข้อมูลโรงเรียน'!$Z$22:$Z$61,0)),"")</f>
        <v/>
      </c>
      <c r="P7">
        <f>IF(P6=3,INDEX('ข้อมูลโรงเรียน'!$B$22:$B$61,MATCH(P5,'ข้อมูลโรงเรียน'!$Z$22:$Z$61,0)),"")</f>
        <v/>
      </c>
      <c r="Q7">
        <f>IF(Q6=3,INDEX('ข้อมูลโรงเรียน'!$B$22:$B$61,MATCH(Q5,'ข้อมูลโรงเรียน'!$Z$22:$Z$61,0)),"")</f>
        <v/>
      </c>
      <c r="R7">
        <f>IF(R6=3,INDEX('ข้อมูลโรงเรียน'!$B$22:$B$61,MATCH(R5,'ข้อมูลโรงเรียน'!$Z$22:$Z$61,0)),"")</f>
        <v/>
      </c>
      <c r="S7">
        <f>IF(S6=3,INDEX('ข้อมูลโรงเรียน'!$B$22:$B$61,MATCH(S5,'ข้อมูลโรงเรียน'!$Z$22:$Z$61,0)),"")</f>
        <v/>
      </c>
      <c r="T7">
        <f>IF(T6=3,INDEX('ข้อมูลโรงเรียน'!$B$22:$B$61,MATCH(T5,'ข้อมูลโรงเรียน'!$Z$22:$Z$61,0)),"")</f>
        <v/>
      </c>
      <c r="U7">
        <f>IF(U6=3,INDEX('ข้อมูลโรงเรียน'!$B$22:$B$61,MATCH(U5,'ข้อมูลโรงเรียน'!$Z$22:$Z$61,0)),"")</f>
        <v/>
      </c>
      <c r="V7">
        <f>IF(V6=3,INDEX('ข้อมูลโรงเรียน'!$B$22:$B$61,MATCH(V5,'ข้อมูลโรงเรียน'!$Z$22:$Z$61,0)),"")</f>
        <v/>
      </c>
      <c r="W7">
        <f>IF(W6=3,INDEX('ข้อมูลโรงเรียน'!$B$22:$B$61,MATCH(W5,'ข้อมูลโรงเรียน'!$Z$22:$Z$61,0)),"")</f>
        <v/>
      </c>
      <c r="X7">
        <f>IF(X6=3,INDEX('ข้อมูลโรงเรียน'!$B$22:$B$61,MATCH(X5,'ข้อมูลโรงเรียน'!$Z$22:$Z$61,0)),"")</f>
        <v/>
      </c>
      <c r="Y7">
        <f>IF(Y6=3,INDEX('ข้อมูลโรงเรียน'!$B$22:$B$61,MATCH(Y5,'ข้อมูลโรงเรียน'!$Z$22:$Z$61,0)),"")</f>
        <v/>
      </c>
      <c r="Z7">
        <f>IF(Z6=3,INDEX('ข้อมูลโรงเรียน'!$B$22:$B$61,MATCH(Z5,'ข้อมูลโรงเรียน'!$Z$22:$Z$61,0)),"")</f>
        <v/>
      </c>
      <c r="AA7">
        <f>IF(AA6=3,INDEX('ข้อมูลโรงเรียน'!$B$22:$B$61,MATCH(AA5,'ข้อมูลโรงเรียน'!$Z$22:$Z$61,0)),"")</f>
        <v/>
      </c>
      <c r="AB7">
        <f>IF(AB6=3,INDEX('ข้อมูลโรงเรียน'!$B$22:$B$61,MATCH(AB5,'ข้อมูลโรงเรียน'!$Z$22:$Z$61,0)),"")</f>
        <v/>
      </c>
      <c r="AC7">
        <f>IF(AC6=3,INDEX('ข้อมูลโรงเรียน'!$B$22:$B$61,MATCH(AC5,'ข้อมูลโรงเรียน'!$Z$22:$Z$61,0)),"")</f>
        <v/>
      </c>
      <c r="AD7">
        <f>IF(AD6=3,INDEX('ข้อมูลโรงเรียน'!$B$22:$B$61,MATCH(AD5,'ข้อมูลโรงเรียน'!$Z$22:$Z$61,0)),"")</f>
        <v/>
      </c>
      <c r="AE7">
        <f>IF(AE6=3,INDEX('ข้อมูลโรงเรียน'!$B$22:$B$61,MATCH(AE5,'ข้อมูลโรงเรียน'!$Z$22:$Z$61,0)),"")</f>
        <v/>
      </c>
      <c r="AF7">
        <f>IF(AF6=3,INDEX('ข้อมูลโรงเรียน'!$B$22:$B$61,MATCH(AF5,'ข้อมูลโรงเรียน'!$Z$22:$Z$61,0)),"")</f>
        <v/>
      </c>
      <c r="AG7">
        <f>IF(AG6=3,INDEX('ข้อมูลโรงเรียน'!$B$22:$B$61,MATCH(AG5,'ข้อมูลโรงเรียน'!$Z$22:$Z$61,0)),"")</f>
        <v/>
      </c>
      <c r="AH7">
        <f>IF(AH6=3,INDEX('ข้อมูลโรงเรียน'!$B$22:$B$61,MATCH(AH5,'ข้อมูลโรงเรียน'!$Z$22:$Z$61,0)),"")</f>
        <v/>
      </c>
      <c r="AL7">
        <f>IF(AL6=3,INDEX('ข้อมูลโรงเรียน'!$B$22:$B$61,MATCH(AL5,'ข้อมูลโรงเรียน'!$Z$22:$Z$61,0)),"")</f>
        <v/>
      </c>
      <c r="AM7">
        <f>IF(AM6=3,INDEX('ข้อมูลโรงเรียน'!$B$22:$B$61,MATCH(AM5,'ข้อมูลโรงเรียน'!$Z$22:$Z$61,0)),"")</f>
        <v/>
      </c>
      <c r="AN7">
        <f>IF(AN6=3,INDEX('ข้อมูลโรงเรียน'!$B$22:$B$61,MATCH(AN5,'ข้อมูลโรงเรียน'!$Z$22:$Z$61,0)),"")</f>
        <v/>
      </c>
      <c r="AO7">
        <f>IF(AO6=3,INDEX('ข้อมูลโรงเรียน'!$B$22:$B$61,MATCH(AO5,'ข้อมูลโรงเรียน'!$Z$22:$Z$61,0)),"")</f>
        <v/>
      </c>
      <c r="AP7">
        <f>IF(AP6=3,INDEX('ข้อมูลโรงเรียน'!$B$22:$B$61,MATCH(AP5,'ข้อมูลโรงเรียน'!$Z$22:$Z$61,0)),"")</f>
        <v/>
      </c>
      <c r="AQ7">
        <f>IF(AQ6=3,INDEX('ข้อมูลโรงเรียน'!$B$22:$B$61,MATCH(AQ5,'ข้อมูลโรงเรียน'!$Z$22:$Z$61,0)),"")</f>
        <v/>
      </c>
      <c r="AR7">
        <f>IF(AR6=3,INDEX('ข้อมูลโรงเรียน'!$B$22:$B$61,MATCH(AR5,'ข้อมูลโรงเรียน'!$Z$22:$Z$61,0)),"")</f>
        <v/>
      </c>
      <c r="AS7">
        <f>IF(AS6=3,INDEX('ข้อมูลโรงเรียน'!$B$22:$B$61,MATCH(AS5,'ข้อมูลโรงเรียน'!$Z$22:$Z$61,0)),"")</f>
        <v/>
      </c>
      <c r="AT7">
        <f>IF(AT6=3,INDEX('ข้อมูลโรงเรียน'!$B$22:$B$61,MATCH(AT5,'ข้อมูลโรงเรียน'!$Z$22:$Z$61,0)),"")</f>
        <v/>
      </c>
      <c r="AU7">
        <f>IF(AU6=3,INDEX('ข้อมูลโรงเรียน'!$B$22:$B$61,MATCH(AU5,'ข้อมูลโรงเรียน'!$Z$22:$Z$61,0)),"")</f>
        <v/>
      </c>
      <c r="AV7">
        <f>IF(AV6=3,INDEX('ข้อมูลโรงเรียน'!$B$22:$B$61,MATCH(AV5,'ข้อมูลโรงเรียน'!$Z$22:$Z$61,0)),"")</f>
        <v/>
      </c>
      <c r="AW7">
        <f>IF(AW6=3,INDEX('ข้อมูลโรงเรียน'!$B$22:$B$61,MATCH(AW5,'ข้อมูลโรงเรียน'!$Z$22:$Z$61,0)),"")</f>
        <v/>
      </c>
      <c r="AX7">
        <f>IF(AX6=3,INDEX('ข้อมูลโรงเรียน'!$B$22:$B$61,MATCH(AX5,'ข้อมูลโรงเรียน'!$Z$22:$Z$61,0)),"")</f>
        <v/>
      </c>
      <c r="AY7">
        <f>IF(AY6=3,INDEX('ข้อมูลโรงเรียน'!$B$22:$B$61,MATCH(AY5,'ข้อมูลโรงเรียน'!$Z$22:$Z$61,0)),"")</f>
        <v/>
      </c>
      <c r="AZ7">
        <f>IF(AZ6=3,INDEX('ข้อมูลโรงเรียน'!$B$22:$B$61,MATCH(AZ5,'ข้อมูลโรงเรียน'!$Z$22:$Z$61,0)),"")</f>
        <v/>
      </c>
      <c r="BA7">
        <f>IF(BA6=3,INDEX('ข้อมูลโรงเรียน'!$B$22:$B$61,MATCH(BA5,'ข้อมูลโรงเรียน'!$Z$22:$Z$61,0)),"")</f>
        <v/>
      </c>
      <c r="BB7">
        <f>IF(BB6=3,INDEX('ข้อมูลโรงเรียน'!$B$22:$B$61,MATCH(BB5,'ข้อมูลโรงเรียน'!$Z$22:$Z$61,0)),"")</f>
        <v/>
      </c>
      <c r="BC7">
        <f>IF(BC6=3,INDEX('ข้อมูลโรงเรียน'!$B$22:$B$61,MATCH(BC5,'ข้อมูลโรงเรียน'!$Z$22:$Z$61,0)),"")</f>
        <v/>
      </c>
      <c r="BD7">
        <f>IF(BD6=3,INDEX('ข้อมูลโรงเรียน'!$B$22:$B$61,MATCH(BD5,'ข้อมูลโรงเรียน'!$Z$22:$Z$61,0)),"")</f>
        <v/>
      </c>
      <c r="BE7">
        <f>IF(BE6=3,INDEX('ข้อมูลโรงเรียน'!$B$22:$B$61,MATCH(BE5,'ข้อมูลโรงเรียน'!$Z$22:$Z$61,0)),"")</f>
        <v/>
      </c>
      <c r="BF7">
        <f>IF(BF6=3,INDEX('ข้อมูลโรงเรียน'!$B$22:$B$61,MATCH(BF5,'ข้อมูลโรงเรียน'!$Z$22:$Z$61,0)),"")</f>
        <v/>
      </c>
      <c r="BG7">
        <f>IF(BG6=3,INDEX('ข้อมูลโรงเรียน'!$B$22:$B$61,MATCH(BG5,'ข้อมูลโรงเรียน'!$Z$22:$Z$61,0)),"")</f>
        <v/>
      </c>
      <c r="BH7">
        <f>IF(BH6=3,INDEX('ข้อมูลโรงเรียน'!$B$22:$B$61,MATCH(BH5,'ข้อมูลโรงเรียน'!$Z$22:$Z$61,0)),"")</f>
        <v/>
      </c>
      <c r="BI7">
        <f>IF(BI6=3,INDEX('ข้อมูลโรงเรียน'!$B$22:$B$61,MATCH(BI5,'ข้อมูลโรงเรียน'!$Z$22:$Z$61,0)),"")</f>
        <v/>
      </c>
      <c r="BJ7">
        <f>IF(BJ6=3,INDEX('ข้อมูลโรงเรียน'!$B$22:$B$61,MATCH(BJ5,'ข้อมูลโรงเรียน'!$Z$22:$Z$61,0)),"")</f>
        <v/>
      </c>
      <c r="BK7">
        <f>IF(BK6=3,INDEX('ข้อมูลโรงเรียน'!$B$22:$B$61,MATCH(BK5,'ข้อมูลโรงเรียน'!$Z$22:$Z$61,0)),"")</f>
        <v/>
      </c>
      <c r="BL7">
        <f>IF(BL6=3,INDEX('ข้อมูลโรงเรียน'!$B$22:$B$61,MATCH(BL5,'ข้อมูลโรงเรียน'!$Z$22:$Z$61,0)),"")</f>
        <v/>
      </c>
      <c r="BM7">
        <f>IF(BM6=3,INDEX('ข้อมูลโรงเรียน'!$B$22:$B$61,MATCH(BM5,'ข้อมูลโรงเรียน'!$Z$22:$Z$61,0)),"")</f>
        <v/>
      </c>
      <c r="BN7">
        <f>IF(BN6=3,INDEX('ข้อมูลโรงเรียน'!$B$22:$B$61,MATCH(BN5,'ข้อมูลโรงเรียน'!$Z$22:$Z$61,0)),"")</f>
        <v/>
      </c>
      <c r="BO7">
        <f>IF(BO6=3,INDEX('ข้อมูลโรงเรียน'!$B$22:$B$61,MATCH(BO5,'ข้อมูลโรงเรียน'!$Z$22:$Z$61,0)),"")</f>
        <v/>
      </c>
      <c r="BP7">
        <f>IF(BP6=3,INDEX('ข้อมูลโรงเรียน'!$B$22:$B$61,MATCH(BP5,'ข้อมูลโรงเรียน'!$Z$22:$Z$61,0)),"")</f>
        <v/>
      </c>
      <c r="BT7">
        <f>IF(BT6=3,INDEX('ข้อมูลโรงเรียน'!$B$22:$B$61,MATCH(BT5,'ข้อมูลโรงเรียน'!$Z$22:$Z$61,0)),"")</f>
        <v/>
      </c>
      <c r="BU7">
        <f>IF(BU6=3,INDEX('ข้อมูลโรงเรียน'!$B$22:$B$61,MATCH(BU5,'ข้อมูลโรงเรียน'!$Z$22:$Z$61,0)),"")</f>
        <v/>
      </c>
      <c r="BV7">
        <f>IF(BV6=3,INDEX('ข้อมูลโรงเรียน'!$B$22:$B$61,MATCH(BV5,'ข้อมูลโรงเรียน'!$Z$22:$Z$61,0)),"")</f>
        <v/>
      </c>
      <c r="BW7">
        <f>IF(BW6=3,INDEX('ข้อมูลโรงเรียน'!$B$22:$B$61,MATCH(BW5,'ข้อมูลโรงเรียน'!$Z$22:$Z$61,0)),"")</f>
        <v/>
      </c>
      <c r="BX7">
        <f>IF(BX6=3,INDEX('ข้อมูลโรงเรียน'!$B$22:$B$61,MATCH(BX5,'ข้อมูลโรงเรียน'!$Z$22:$Z$61,0)),"")</f>
        <v/>
      </c>
      <c r="BY7">
        <f>IF(BY6=3,INDEX('ข้อมูลโรงเรียน'!$B$22:$B$61,MATCH(BY5,'ข้อมูลโรงเรียน'!$Z$22:$Z$61,0)),"")</f>
        <v/>
      </c>
      <c r="BZ7">
        <f>IF(BZ6=3,INDEX('ข้อมูลโรงเรียน'!$B$22:$B$61,MATCH(BZ5,'ข้อมูลโรงเรียน'!$Z$22:$Z$61,0)),"")</f>
        <v/>
      </c>
      <c r="CA7">
        <f>IF(CA6=3,INDEX('ข้อมูลโรงเรียน'!$B$22:$B$61,MATCH(CA5,'ข้อมูลโรงเรียน'!$Z$22:$Z$61,0)),"")</f>
        <v/>
      </c>
      <c r="CB7">
        <f>IF(CB6=3,INDEX('ข้อมูลโรงเรียน'!$B$22:$B$61,MATCH(CB5,'ข้อมูลโรงเรียน'!$Z$22:$Z$61,0)),"")</f>
        <v/>
      </c>
      <c r="CC7">
        <f>IF(CC6=3,INDEX('ข้อมูลโรงเรียน'!$B$22:$B$61,MATCH(CC5,'ข้อมูลโรงเรียน'!$Z$22:$Z$61,0)),"")</f>
        <v/>
      </c>
      <c r="CD7">
        <f>IF(CD6=3,INDEX('ข้อมูลโรงเรียน'!$B$22:$B$61,MATCH(CD5,'ข้อมูลโรงเรียน'!$Z$22:$Z$61,0)),"")</f>
        <v/>
      </c>
      <c r="CE7">
        <f>IF(CE6=3,INDEX('ข้อมูลโรงเรียน'!$B$22:$B$61,MATCH(CE5,'ข้อมูลโรงเรียน'!$Z$22:$Z$61,0)),"")</f>
        <v/>
      </c>
      <c r="CF7">
        <f>IF(CF6=3,INDEX('ข้อมูลโรงเรียน'!$B$22:$B$61,MATCH(CF5,'ข้อมูลโรงเรียน'!$Z$22:$Z$61,0)),"")</f>
        <v/>
      </c>
      <c r="CG7">
        <f>IF(CG6=3,INDEX('ข้อมูลโรงเรียน'!$B$22:$B$61,MATCH(CG5,'ข้อมูลโรงเรียน'!$Z$22:$Z$61,0)),"")</f>
        <v/>
      </c>
      <c r="CH7">
        <f>IF(CH6=3,INDEX('ข้อมูลโรงเรียน'!$B$22:$B$61,MATCH(CH5,'ข้อมูลโรงเรียน'!$Z$22:$Z$61,0)),"")</f>
        <v/>
      </c>
      <c r="CI7">
        <f>IF(CI6=3,INDEX('ข้อมูลโรงเรียน'!$B$22:$B$61,MATCH(CI5,'ข้อมูลโรงเรียน'!$Z$22:$Z$61,0)),"")</f>
        <v/>
      </c>
      <c r="CJ7">
        <f>IF(CJ6=3,INDEX('ข้อมูลโรงเรียน'!$B$22:$B$61,MATCH(CJ5,'ข้อมูลโรงเรียน'!$Z$22:$Z$61,0)),"")</f>
        <v/>
      </c>
      <c r="CK7">
        <f>IF(CK6=3,INDEX('ข้อมูลโรงเรียน'!$B$22:$B$61,MATCH(CK5,'ข้อมูลโรงเรียน'!$Z$22:$Z$61,0)),"")</f>
        <v/>
      </c>
      <c r="CL7">
        <f>IF(CL6=3,INDEX('ข้อมูลโรงเรียน'!$B$22:$B$61,MATCH(CL5,'ข้อมูลโรงเรียน'!$Z$22:$Z$61,0)),"")</f>
        <v/>
      </c>
      <c r="CM7">
        <f>IF(CM6=3,INDEX('ข้อมูลโรงเรียน'!$B$22:$B$61,MATCH(CM5,'ข้อมูลโรงเรียน'!$Z$22:$Z$61,0)),"")</f>
        <v/>
      </c>
      <c r="CN7">
        <f>IF(CN6=3,INDEX('ข้อมูลโรงเรียน'!$B$22:$B$61,MATCH(CN5,'ข้อมูลโรงเรียน'!$Z$22:$Z$61,0)),"")</f>
        <v/>
      </c>
      <c r="CO7">
        <f>IF(CO6=3,INDEX('ข้อมูลโรงเรียน'!$B$22:$B$61,MATCH(CO5,'ข้อมูลโรงเรียน'!$Z$22:$Z$61,0)),"")</f>
        <v/>
      </c>
      <c r="CP7">
        <f>IF(CP6=3,INDEX('ข้อมูลโรงเรียน'!$B$22:$B$61,MATCH(CP5,'ข้อมูลโรงเรียน'!$Z$22:$Z$61,0)),"")</f>
        <v/>
      </c>
      <c r="CQ7">
        <f>IF(CQ6=3,INDEX('ข้อมูลโรงเรียน'!$B$22:$B$61,MATCH(CQ5,'ข้อมูลโรงเรียน'!$Z$22:$Z$61,0)),"")</f>
        <v/>
      </c>
      <c r="CR7">
        <f>IF(CR6=3,INDEX('ข้อมูลโรงเรียน'!$B$22:$B$61,MATCH(CR5,'ข้อมูลโรงเรียน'!$Z$22:$Z$61,0)),"")</f>
        <v/>
      </c>
      <c r="CS7">
        <f>IF(CS6=3,INDEX('ข้อมูลโรงเรียน'!$B$22:$B$61,MATCH(CS5,'ข้อมูลโรงเรียน'!$Z$22:$Z$61,0)),"")</f>
        <v/>
      </c>
      <c r="CT7">
        <f>IF(CT6=3,INDEX('ข้อมูลโรงเรียน'!$B$22:$B$61,MATCH(CT5,'ข้อมูลโรงเรียน'!$Z$22:$Z$61,0)),"")</f>
        <v/>
      </c>
      <c r="CU7">
        <f>IF(CU6=3,INDEX('ข้อมูลโรงเรียน'!$B$22:$B$61,MATCH(CU5,'ข้อมูลโรงเรียน'!$Z$22:$Z$61,0)),"")</f>
        <v/>
      </c>
      <c r="CV7">
        <f>IF(CV6=3,INDEX('ข้อมูลโรงเรียน'!$B$22:$B$61,MATCH(CV5,'ข้อมูลโรงเรียน'!$Z$22:$Z$61,0)),"")</f>
        <v/>
      </c>
      <c r="CW7">
        <f>IF(CW6=3,INDEX('ข้อมูลโรงเรียน'!$B$22:$B$61,MATCH(CW5,'ข้อมูลโรงเรียน'!$Z$22:$Z$61,0)),"")</f>
        <v/>
      </c>
      <c r="CX7">
        <f>IF(CX6=3,INDEX('ข้อมูลโรงเรียน'!$B$22:$B$61,MATCH(CX5,'ข้อมูลโรงเรียน'!$Z$22:$Z$61,0)),"")</f>
        <v/>
      </c>
      <c r="DB7">
        <f>IF(DB6=3,INDEX('ข้อมูลโรงเรียน'!$B$22:$B$61,MATCH(DB5,'ข้อมูลโรงเรียน'!$Z$22:$Z$61,0)),"")</f>
        <v/>
      </c>
      <c r="DC7">
        <f>IF(DC6=3,INDEX('ข้อมูลโรงเรียน'!$B$22:$B$61,MATCH(DC5,'ข้อมูลโรงเรียน'!$Z$22:$Z$61,0)),"")</f>
        <v/>
      </c>
      <c r="DD7">
        <f>IF(DD6=3,INDEX('ข้อมูลโรงเรียน'!$B$22:$B$61,MATCH(DD5,'ข้อมูลโรงเรียน'!$Z$22:$Z$61,0)),"")</f>
        <v/>
      </c>
      <c r="DE7">
        <f>IF(DE6=3,INDEX('ข้อมูลโรงเรียน'!$B$22:$B$61,MATCH(DE5,'ข้อมูลโรงเรียน'!$Z$22:$Z$61,0)),"")</f>
        <v/>
      </c>
      <c r="DF7">
        <f>IF(DF6=3,INDEX('ข้อมูลโรงเรียน'!$B$22:$B$61,MATCH(DF5,'ข้อมูลโรงเรียน'!$Z$22:$Z$61,0)),"")</f>
        <v/>
      </c>
      <c r="DG7">
        <f>IF(DG6=3,INDEX('ข้อมูลโรงเรียน'!$B$22:$B$61,MATCH(DG5,'ข้อมูลโรงเรียน'!$Z$22:$Z$61,0)),"")</f>
        <v/>
      </c>
      <c r="DH7">
        <f>IF(DH6=3,INDEX('ข้อมูลโรงเรียน'!$B$22:$B$61,MATCH(DH5,'ข้อมูลโรงเรียน'!$Z$22:$Z$61,0)),"")</f>
        <v/>
      </c>
      <c r="DI7">
        <f>IF(DI6=3,INDEX('ข้อมูลโรงเรียน'!$B$22:$B$61,MATCH(DI5,'ข้อมูลโรงเรียน'!$Z$22:$Z$61,0)),"")</f>
        <v/>
      </c>
      <c r="DJ7">
        <f>IF(DJ6=3,INDEX('ข้อมูลโรงเรียน'!$B$22:$B$61,MATCH(DJ5,'ข้อมูลโรงเรียน'!$Z$22:$Z$61,0)),"")</f>
        <v/>
      </c>
      <c r="DK7">
        <f>IF(DK6=3,INDEX('ข้อมูลโรงเรียน'!$B$22:$B$61,MATCH(DK5,'ข้อมูลโรงเรียน'!$Z$22:$Z$61,0)),"")</f>
        <v/>
      </c>
      <c r="DL7">
        <f>IF(DL6=3,INDEX('ข้อมูลโรงเรียน'!$B$22:$B$61,MATCH(DL5,'ข้อมูลโรงเรียน'!$Z$22:$Z$61,0)),"")</f>
        <v/>
      </c>
      <c r="DM7">
        <f>IF(DM6=3,INDEX('ข้อมูลโรงเรียน'!$B$22:$B$61,MATCH(DM5,'ข้อมูลโรงเรียน'!$Z$22:$Z$61,0)),"")</f>
        <v/>
      </c>
      <c r="DN7">
        <f>IF(DN6=3,INDEX('ข้อมูลโรงเรียน'!$B$22:$B$61,MATCH(DN5,'ข้อมูลโรงเรียน'!$Z$22:$Z$61,0)),"")</f>
        <v/>
      </c>
      <c r="DO7">
        <f>IF(DO6=3,INDEX('ข้อมูลโรงเรียน'!$B$22:$B$61,MATCH(DO5,'ข้อมูลโรงเรียน'!$Z$22:$Z$61,0)),"")</f>
        <v/>
      </c>
      <c r="DP7">
        <f>IF(DP6=3,INDEX('ข้อมูลโรงเรียน'!$B$22:$B$61,MATCH(DP5,'ข้อมูลโรงเรียน'!$Z$22:$Z$61,0)),"")</f>
        <v/>
      </c>
      <c r="DQ7">
        <f>IF(DQ6=3,INDEX('ข้อมูลโรงเรียน'!$B$22:$B$61,MATCH(DQ5,'ข้อมูลโรงเรียน'!$Z$22:$Z$61,0)),"")</f>
        <v/>
      </c>
      <c r="DR7">
        <f>IF(DR6=3,INDEX('ข้อมูลโรงเรียน'!$B$22:$B$61,MATCH(DR5,'ข้อมูลโรงเรียน'!$Z$22:$Z$61,0)),"")</f>
        <v/>
      </c>
      <c r="DS7">
        <f>IF(DS6=3,INDEX('ข้อมูลโรงเรียน'!$B$22:$B$61,MATCH(DS5,'ข้อมูลโรงเรียน'!$Z$22:$Z$61,0)),"")</f>
        <v/>
      </c>
      <c r="DT7">
        <f>IF(DT6=3,INDEX('ข้อมูลโรงเรียน'!$B$22:$B$61,MATCH(DT5,'ข้อมูลโรงเรียน'!$Z$22:$Z$61,0)),"")</f>
        <v/>
      </c>
      <c r="DU7">
        <f>IF(DU6=3,INDEX('ข้อมูลโรงเรียน'!$B$22:$B$61,MATCH(DU5,'ข้อมูลโรงเรียน'!$Z$22:$Z$61,0)),"")</f>
        <v/>
      </c>
      <c r="DV7">
        <f>IF(DV6=3,INDEX('ข้อมูลโรงเรียน'!$B$22:$B$61,MATCH(DV5,'ข้อมูลโรงเรียน'!$Z$22:$Z$61,0)),"")</f>
        <v/>
      </c>
      <c r="DW7">
        <f>IF(DW6=3,INDEX('ข้อมูลโรงเรียน'!$B$22:$B$61,MATCH(DW5,'ข้อมูลโรงเรียน'!$Z$22:$Z$61,0)),"")</f>
        <v/>
      </c>
      <c r="DX7">
        <f>IF(DX6=3,INDEX('ข้อมูลโรงเรียน'!$B$22:$B$61,MATCH(DX5,'ข้อมูลโรงเรียน'!$Z$22:$Z$61,0)),"")</f>
        <v/>
      </c>
      <c r="DY7">
        <f>IF(DY6=3,INDEX('ข้อมูลโรงเรียน'!$B$22:$B$61,MATCH(DY5,'ข้อมูลโรงเรียน'!$Z$22:$Z$61,0)),"")</f>
        <v/>
      </c>
      <c r="DZ7">
        <f>IF(DZ6=3,INDEX('ข้อมูลโรงเรียน'!$B$22:$B$61,MATCH(DZ5,'ข้อมูลโรงเรียน'!$Z$22:$Z$61,0)),"")</f>
        <v/>
      </c>
      <c r="EA7">
        <f>IF(EA6=3,INDEX('ข้อมูลโรงเรียน'!$B$22:$B$61,MATCH(EA5,'ข้อมูลโรงเรียน'!$Z$22:$Z$61,0)),"")</f>
        <v/>
      </c>
      <c r="EB7">
        <f>IF(EB6=3,INDEX('ข้อมูลโรงเรียน'!$B$22:$B$61,MATCH(EB5,'ข้อมูลโรงเรียน'!$Z$22:$Z$61,0)),"")</f>
        <v/>
      </c>
      <c r="EC7">
        <f>IF(EC6=3,INDEX('ข้อมูลโรงเรียน'!$B$22:$B$61,MATCH(EC5,'ข้อมูลโรงเรียน'!$Z$22:$Z$61,0)),"")</f>
        <v/>
      </c>
      <c r="ED7">
        <f>IF(ED6=3,INDEX('ข้อมูลโรงเรียน'!$B$22:$B$61,MATCH(ED5,'ข้อมูลโรงเรียน'!$Z$22:$Z$61,0)),"")</f>
        <v/>
      </c>
      <c r="EE7">
        <f>IF(EE6=3,INDEX('ข้อมูลโรงเรียน'!$B$22:$B$61,MATCH(EE5,'ข้อมูลโรงเรียน'!$Z$22:$Z$61,0)),"")</f>
        <v/>
      </c>
      <c r="EF7">
        <f>IF(EF6=3,INDEX('ข้อมูลโรงเรียน'!$B$22:$B$61,MATCH(EF5,'ข้อมูลโรงเรียน'!$Z$22:$Z$61,0)),"")</f>
        <v/>
      </c>
      <c r="EJ7">
        <f>IF(EJ6=3,INDEX('ข้อมูลโรงเรียน'!$B$22:$B$61,MATCH(EJ5,'ข้อมูลโรงเรียน'!$Z$22:$Z$61,0)),"")</f>
        <v/>
      </c>
      <c r="EK7">
        <f>IF(EK6=3,INDEX('ข้อมูลโรงเรียน'!$B$22:$B$61,MATCH(EK5,'ข้อมูลโรงเรียน'!$Z$22:$Z$61,0)),"")</f>
        <v/>
      </c>
      <c r="EL7">
        <f>IF(EL6=3,INDEX('ข้อมูลโรงเรียน'!$B$22:$B$61,MATCH(EL5,'ข้อมูลโรงเรียน'!$Z$22:$Z$61,0)),"")</f>
        <v/>
      </c>
      <c r="EM7">
        <f>IF(EM6=3,INDEX('ข้อมูลโรงเรียน'!$B$22:$B$61,MATCH(EM5,'ข้อมูลโรงเรียน'!$Z$22:$Z$61,0)),"")</f>
        <v/>
      </c>
      <c r="EN7">
        <f>IF(EN6=3,INDEX('ข้อมูลโรงเรียน'!$B$22:$B$61,MATCH(EN5,'ข้อมูลโรงเรียน'!$Z$22:$Z$61,0)),"")</f>
        <v/>
      </c>
      <c r="EO7">
        <f>IF(EO6=3,INDEX('ข้อมูลโรงเรียน'!$B$22:$B$61,MATCH(EO5,'ข้อมูลโรงเรียน'!$Z$22:$Z$61,0)),"")</f>
        <v/>
      </c>
      <c r="EP7">
        <f>IF(EP6=3,INDEX('ข้อมูลโรงเรียน'!$B$22:$B$61,MATCH(EP5,'ข้อมูลโรงเรียน'!$Z$22:$Z$61,0)),"")</f>
        <v/>
      </c>
      <c r="EQ7">
        <f>IF(EQ6=3,INDEX('ข้อมูลโรงเรียน'!$B$22:$B$61,MATCH(EQ5,'ข้อมูลโรงเรียน'!$Z$22:$Z$61,0)),"")</f>
        <v/>
      </c>
      <c r="ER7">
        <f>IF(ER6=3,INDEX('ข้อมูลโรงเรียน'!$B$22:$B$61,MATCH(ER5,'ข้อมูลโรงเรียน'!$Z$22:$Z$61,0)),"")</f>
        <v/>
      </c>
      <c r="ES7">
        <f>IF(ES6=3,INDEX('ข้อมูลโรงเรียน'!$B$22:$B$61,MATCH(ES5,'ข้อมูลโรงเรียน'!$Z$22:$Z$61,0)),"")</f>
        <v/>
      </c>
      <c r="ET7">
        <f>IF(ET6=3,INDEX('ข้อมูลโรงเรียน'!$B$22:$B$61,MATCH(ET5,'ข้อมูลโรงเรียน'!$Z$22:$Z$61,0)),"")</f>
        <v/>
      </c>
      <c r="EU7">
        <f>IF(EU6=3,INDEX('ข้อมูลโรงเรียน'!$B$22:$B$61,MATCH(EU5,'ข้อมูลโรงเรียน'!$Z$22:$Z$61,0)),"")</f>
        <v/>
      </c>
      <c r="EV7">
        <f>IF(EV6=3,INDEX('ข้อมูลโรงเรียน'!$B$22:$B$61,MATCH(EV5,'ข้อมูลโรงเรียน'!$Z$22:$Z$61,0)),"")</f>
        <v/>
      </c>
      <c r="EW7">
        <f>IF(EW6=3,INDEX('ข้อมูลโรงเรียน'!$B$22:$B$61,MATCH(EW5,'ข้อมูลโรงเรียน'!$Z$22:$Z$61,0)),"")</f>
        <v/>
      </c>
      <c r="EX7">
        <f>IF(EX6=3,INDEX('ข้อมูลโรงเรียน'!$B$22:$B$61,MATCH(EX5,'ข้อมูลโรงเรียน'!$Z$22:$Z$61,0)),"")</f>
        <v/>
      </c>
      <c r="EY7">
        <f>IF(EY6=3,INDEX('ข้อมูลโรงเรียน'!$B$22:$B$61,MATCH(EY5,'ข้อมูลโรงเรียน'!$Z$22:$Z$61,0)),"")</f>
        <v/>
      </c>
      <c r="EZ7">
        <f>IF(EZ6=3,INDEX('ข้อมูลโรงเรียน'!$B$22:$B$61,MATCH(EZ5,'ข้อมูลโรงเรียน'!$Z$22:$Z$61,0)),"")</f>
        <v/>
      </c>
      <c r="FA7">
        <f>IF(FA6=3,INDEX('ข้อมูลโรงเรียน'!$B$22:$B$61,MATCH(FA5,'ข้อมูลโรงเรียน'!$Z$22:$Z$61,0)),"")</f>
        <v/>
      </c>
      <c r="FB7">
        <f>IF(FB6=3,INDEX('ข้อมูลโรงเรียน'!$B$22:$B$61,MATCH(FB5,'ข้อมูลโรงเรียน'!$Z$22:$Z$61,0)),"")</f>
        <v/>
      </c>
      <c r="FC7">
        <f>IF(FC6=3,INDEX('ข้อมูลโรงเรียน'!$B$22:$B$61,MATCH(FC5,'ข้อมูลโรงเรียน'!$Z$22:$Z$61,0)),"")</f>
        <v/>
      </c>
      <c r="FD7">
        <f>IF(FD6=3,INDEX('ข้อมูลโรงเรียน'!$B$22:$B$61,MATCH(FD5,'ข้อมูลโรงเรียน'!$Z$22:$Z$61,0)),"")</f>
        <v/>
      </c>
      <c r="FE7">
        <f>IF(FE6=3,INDEX('ข้อมูลโรงเรียน'!$B$22:$B$61,MATCH(FE5,'ข้อมูลโรงเรียน'!$Z$22:$Z$61,0)),"")</f>
        <v/>
      </c>
      <c r="FF7">
        <f>IF(FF6=3,INDEX('ข้อมูลโรงเรียน'!$B$22:$B$61,MATCH(FF5,'ข้อมูลโรงเรียน'!$Z$22:$Z$61,0)),"")</f>
        <v/>
      </c>
      <c r="FG7">
        <f>IF(FG6=3,INDEX('ข้อมูลโรงเรียน'!$B$22:$B$61,MATCH(FG5,'ข้อมูลโรงเรียน'!$Z$22:$Z$61,0)),"")</f>
        <v/>
      </c>
      <c r="FH7">
        <f>IF(FH6=3,INDEX('ข้อมูลโรงเรียน'!$B$22:$B$61,MATCH(FH5,'ข้อมูลโรงเรียน'!$Z$22:$Z$61,0)),"")</f>
        <v/>
      </c>
      <c r="FI7">
        <f>IF(FI6=3,INDEX('ข้อมูลโรงเรียน'!$B$22:$B$61,MATCH(FI5,'ข้อมูลโรงเรียน'!$Z$22:$Z$61,0)),"")</f>
        <v/>
      </c>
      <c r="FJ7">
        <f>IF(FJ6=3,INDEX('ข้อมูลโรงเรียน'!$B$22:$B$61,MATCH(FJ5,'ข้อมูลโรงเรียน'!$Z$22:$Z$61,0)),"")</f>
        <v/>
      </c>
      <c r="FK7">
        <f>IF(FK6=3,INDEX('ข้อมูลโรงเรียน'!$B$22:$B$61,MATCH(FK5,'ข้อมูลโรงเรียน'!$Z$22:$Z$61,0)),"")</f>
        <v/>
      </c>
      <c r="FL7">
        <f>IF(FL6=3,INDEX('ข้อมูลโรงเรียน'!$B$22:$B$61,MATCH(FL5,'ข้อมูลโรงเรียน'!$Z$22:$Z$61,0)),"")</f>
        <v/>
      </c>
      <c r="FM7">
        <f>IF(FM6=3,INDEX('ข้อมูลโรงเรียน'!$B$22:$B$61,MATCH(FM5,'ข้อมูลโรงเรียน'!$Z$22:$Z$61,0)),"")</f>
        <v/>
      </c>
      <c r="FN7">
        <f>IF(FN6=3,INDEX('ข้อมูลโรงเรียน'!$B$22:$B$61,MATCH(FN5,'ข้อมูลโรงเรียน'!$Z$22:$Z$61,0)),"")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O112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Height</t>
        </is>
      </c>
      <c r="B1" t="inlineStr">
        <is>
          <t>L_b</t>
        </is>
      </c>
      <c r="C1" t="inlineStr">
        <is>
          <t>M_b</t>
        </is>
      </c>
      <c r="D1" t="inlineStr">
        <is>
          <t>S_b</t>
        </is>
      </c>
      <c r="E1" t="inlineStr">
        <is>
          <t>L_g</t>
        </is>
      </c>
      <c r="F1" t="inlineStr">
        <is>
          <t>M_g</t>
        </is>
      </c>
      <c r="G1" t="inlineStr">
        <is>
          <t>S_g</t>
        </is>
      </c>
      <c r="I1" t="inlineStr">
        <is>
          <t>Month</t>
        </is>
      </c>
      <c r="J1" t="inlineStr">
        <is>
          <t>M_b</t>
        </is>
      </c>
      <c r="K1" t="inlineStr">
        <is>
          <t>S_b</t>
        </is>
      </c>
      <c r="L1" t="inlineStr">
        <is>
          <t>M_g</t>
        </is>
      </c>
      <c r="M1" t="inlineStr">
        <is>
          <t>S_g</t>
        </is>
      </c>
      <c r="O1" t="inlineStr">
        <is>
          <t>ที่มา: WHO Child Growth Standards 2006 (น้ำหนักตามส่วนสูง 2-5 ปี, ส่วนสูงตามอายุ 24-60 เดือน) และ WHO Reference 2007 (ส่วนสูงตามอายุ 61-83 เดือน)</t>
        </is>
      </c>
    </row>
    <row r="2">
      <c r="A2" t="n">
        <v>65</v>
      </c>
      <c r="B2" t="n">
        <v>-0.3521</v>
      </c>
      <c r="C2" t="n">
        <v>7.4327</v>
      </c>
      <c r="D2" t="n">
        <v>0.08217000000000001</v>
      </c>
      <c r="E2" t="n">
        <v>-0.3833</v>
      </c>
      <c r="F2" t="n">
        <v>7.2402</v>
      </c>
      <c r="G2" t="n">
        <v>0.09113</v>
      </c>
      <c r="I2" t="n">
        <v>24</v>
      </c>
      <c r="J2" t="n">
        <v>87.1161</v>
      </c>
      <c r="K2" t="n">
        <v>0.03507</v>
      </c>
      <c r="L2" t="n">
        <v>85.7153</v>
      </c>
      <c r="M2" t="n">
        <v>0.03764</v>
      </c>
      <c r="O2" t="inlineStr">
        <is>
          <t>จุดตัดแปลผลตามกรมอนามัย: -2, -1.5, +1.5, +2, +3 SD</t>
        </is>
      </c>
    </row>
    <row r="3">
      <c r="A3" t="n">
        <v>65.5</v>
      </c>
      <c r="B3" t="n">
        <v>-0.3521</v>
      </c>
      <c r="C3" t="n">
        <v>7.5504</v>
      </c>
      <c r="D3" t="n">
        <v>0.08214</v>
      </c>
      <c r="E3" t="n">
        <v>-0.3833</v>
      </c>
      <c r="F3" t="n">
        <v>7.3523</v>
      </c>
      <c r="G3" t="n">
        <v>0.09109</v>
      </c>
      <c r="I3" t="n">
        <v>25</v>
      </c>
      <c r="J3" t="n">
        <v>87.97199999999999</v>
      </c>
      <c r="K3" t="n">
        <v>0.03542</v>
      </c>
      <c r="L3" t="n">
        <v>86.5904</v>
      </c>
      <c r="M3" t="n">
        <v>0.03786</v>
      </c>
    </row>
    <row r="4">
      <c r="A4" t="n">
        <v>66</v>
      </c>
      <c r="B4" t="n">
        <v>-0.3521</v>
      </c>
      <c r="C4" t="n">
        <v>7.6673</v>
      </c>
      <c r="D4" t="n">
        <v>0.08212</v>
      </c>
      <c r="E4" t="n">
        <v>-0.3833</v>
      </c>
      <c r="F4" t="n">
        <v>7.463</v>
      </c>
      <c r="G4" t="n">
        <v>0.09104</v>
      </c>
      <c r="I4" t="n">
        <v>26</v>
      </c>
      <c r="J4" t="n">
        <v>88.8065</v>
      </c>
      <c r="K4" t="n">
        <v>0.03576</v>
      </c>
      <c r="L4" t="n">
        <v>87.4462</v>
      </c>
      <c r="M4" t="n">
        <v>0.03808</v>
      </c>
    </row>
    <row r="5">
      <c r="A5" t="n">
        <v>66.5</v>
      </c>
      <c r="B5" t="n">
        <v>-0.3521</v>
      </c>
      <c r="C5" t="n">
        <v>7.7834</v>
      </c>
      <c r="D5" t="n">
        <v>0.08212</v>
      </c>
      <c r="E5" t="n">
        <v>-0.3833</v>
      </c>
      <c r="F5" t="n">
        <v>7.5724</v>
      </c>
      <c r="G5" t="n">
        <v>0.09099</v>
      </c>
      <c r="I5" t="n">
        <v>27</v>
      </c>
      <c r="J5" t="n">
        <v>89.61969999999999</v>
      </c>
      <c r="K5" t="n">
        <v>0.0361</v>
      </c>
      <c r="L5" t="n">
        <v>88.283</v>
      </c>
      <c r="M5" t="n">
        <v>0.0383</v>
      </c>
    </row>
    <row r="6">
      <c r="A6" t="n">
        <v>67</v>
      </c>
      <c r="B6" t="n">
        <v>-0.3521</v>
      </c>
      <c r="C6" t="n">
        <v>7.8986</v>
      </c>
      <c r="D6" t="n">
        <v>0.08212999999999999</v>
      </c>
      <c r="E6" t="n">
        <v>-0.3833</v>
      </c>
      <c r="F6" t="n">
        <v>7.6806</v>
      </c>
      <c r="G6" t="n">
        <v>0.09093999999999999</v>
      </c>
      <c r="I6" t="n">
        <v>28</v>
      </c>
      <c r="J6" t="n">
        <v>90.41200000000001</v>
      </c>
      <c r="K6" t="n">
        <v>0.03642</v>
      </c>
      <c r="L6" t="n">
        <v>89.10039999999999</v>
      </c>
      <c r="M6" t="n">
        <v>0.03851</v>
      </c>
    </row>
    <row r="7">
      <c r="A7" t="n">
        <v>67.5</v>
      </c>
      <c r="B7" t="n">
        <v>-0.3521</v>
      </c>
      <c r="C7" t="n">
        <v>8.013199999999999</v>
      </c>
      <c r="D7" t="n">
        <v>0.08214</v>
      </c>
      <c r="E7" t="n">
        <v>-0.3833</v>
      </c>
      <c r="F7" t="n">
        <v>7.7874</v>
      </c>
      <c r="G7" t="n">
        <v>0.09088</v>
      </c>
      <c r="I7" t="n">
        <v>29</v>
      </c>
      <c r="J7" t="n">
        <v>91.1828</v>
      </c>
      <c r="K7" t="n">
        <v>0.03674</v>
      </c>
      <c r="L7" t="n">
        <v>89.8991</v>
      </c>
      <c r="M7" t="n">
        <v>0.03872</v>
      </c>
    </row>
    <row r="8">
      <c r="A8" t="n">
        <v>68</v>
      </c>
      <c r="B8" t="n">
        <v>-0.3521</v>
      </c>
      <c r="C8" t="n">
        <v>8.1272</v>
      </c>
      <c r="D8" t="n">
        <v>0.08217000000000001</v>
      </c>
      <c r="E8" t="n">
        <v>-0.3833</v>
      </c>
      <c r="F8" t="n">
        <v>7.893</v>
      </c>
      <c r="G8" t="n">
        <v>0.09082999999999999</v>
      </c>
      <c r="I8" t="n">
        <v>30</v>
      </c>
      <c r="J8" t="n">
        <v>91.9327</v>
      </c>
      <c r="K8" t="n">
        <v>0.03704</v>
      </c>
      <c r="L8" t="n">
        <v>90.6797</v>
      </c>
      <c r="M8" t="n">
        <v>0.03893</v>
      </c>
    </row>
    <row r="9">
      <c r="A9" t="n">
        <v>68.5</v>
      </c>
      <c r="B9" t="n">
        <v>-0.3521</v>
      </c>
      <c r="C9" t="n">
        <v>8.241</v>
      </c>
      <c r="D9" t="n">
        <v>0.08221000000000001</v>
      </c>
      <c r="E9" t="n">
        <v>-0.3833</v>
      </c>
      <c r="F9" t="n">
        <v>7.9976</v>
      </c>
      <c r="G9" t="n">
        <v>0.09077</v>
      </c>
      <c r="I9" t="n">
        <v>31</v>
      </c>
      <c r="J9" t="n">
        <v>92.6631</v>
      </c>
      <c r="K9" t="n">
        <v>0.03733</v>
      </c>
      <c r="L9" t="n">
        <v>91.443</v>
      </c>
      <c r="M9" t="n">
        <v>0.03913</v>
      </c>
    </row>
    <row r="10">
      <c r="A10" t="n">
        <v>69</v>
      </c>
      <c r="B10" t="n">
        <v>-0.3521</v>
      </c>
      <c r="C10" t="n">
        <v>8.354699999999999</v>
      </c>
      <c r="D10" t="n">
        <v>0.08226</v>
      </c>
      <c r="E10" t="n">
        <v>-0.3833</v>
      </c>
      <c r="F10" t="n">
        <v>8.1012</v>
      </c>
      <c r="G10" t="n">
        <v>0.09071</v>
      </c>
      <c r="I10" t="n">
        <v>32</v>
      </c>
      <c r="J10" t="n">
        <v>93.3753</v>
      </c>
      <c r="K10" t="n">
        <v>0.03761</v>
      </c>
      <c r="L10" t="n">
        <v>92.1906</v>
      </c>
      <c r="M10" t="n">
        <v>0.03933</v>
      </c>
    </row>
    <row r="11">
      <c r="A11" t="n">
        <v>69.5</v>
      </c>
      <c r="B11" t="n">
        <v>-0.3521</v>
      </c>
      <c r="C11" t="n">
        <v>8.468</v>
      </c>
      <c r="D11" t="n">
        <v>0.08230999999999999</v>
      </c>
      <c r="E11" t="n">
        <v>-0.3833</v>
      </c>
      <c r="F11" t="n">
        <v>8.203900000000001</v>
      </c>
      <c r="G11" t="n">
        <v>0.09064999999999999</v>
      </c>
      <c r="I11" t="n">
        <v>33</v>
      </c>
      <c r="J11" t="n">
        <v>94.0711</v>
      </c>
      <c r="K11" t="n">
        <v>0.03787</v>
      </c>
      <c r="L11" t="n">
        <v>92.9239</v>
      </c>
      <c r="M11" t="n">
        <v>0.03952</v>
      </c>
    </row>
    <row r="12">
      <c r="A12" t="n">
        <v>70</v>
      </c>
      <c r="B12" t="n">
        <v>-0.3521</v>
      </c>
      <c r="C12" t="n">
        <v>8.5808</v>
      </c>
      <c r="D12" t="n">
        <v>0.08237</v>
      </c>
      <c r="E12" t="n">
        <v>-0.3833</v>
      </c>
      <c r="F12" t="n">
        <v>8.3058</v>
      </c>
      <c r="G12" t="n">
        <v>0.09059</v>
      </c>
      <c r="I12" t="n">
        <v>34</v>
      </c>
      <c r="J12" t="n">
        <v>94.75320000000001</v>
      </c>
      <c r="K12" t="n">
        <v>0.03812</v>
      </c>
      <c r="L12" t="n">
        <v>93.6444</v>
      </c>
      <c r="M12" t="n">
        <v>0.03971</v>
      </c>
    </row>
    <row r="13">
      <c r="A13" t="n">
        <v>70.5</v>
      </c>
      <c r="B13" t="n">
        <v>-0.3521</v>
      </c>
      <c r="C13" t="n">
        <v>8.6927</v>
      </c>
      <c r="D13" t="n">
        <v>0.08243</v>
      </c>
      <c r="E13" t="n">
        <v>-0.3833</v>
      </c>
      <c r="F13" t="n">
        <v>8.4071</v>
      </c>
      <c r="G13" t="n">
        <v>0.09053</v>
      </c>
      <c r="I13" t="n">
        <v>35</v>
      </c>
      <c r="J13" t="n">
        <v>95.42359999999999</v>
      </c>
      <c r="K13" t="n">
        <v>0.03836</v>
      </c>
      <c r="L13" t="n">
        <v>94.3533</v>
      </c>
      <c r="M13" t="n">
        <v>0.03989</v>
      </c>
    </row>
    <row r="14">
      <c r="A14" t="n">
        <v>71</v>
      </c>
      <c r="B14" t="n">
        <v>-0.3521</v>
      </c>
      <c r="C14" t="n">
        <v>8.803599999999999</v>
      </c>
      <c r="D14" t="n">
        <v>0.0825</v>
      </c>
      <c r="E14" t="n">
        <v>-0.3833</v>
      </c>
      <c r="F14" t="n">
        <v>8.5078</v>
      </c>
      <c r="G14" t="n">
        <v>0.09046999999999999</v>
      </c>
      <c r="I14" t="n">
        <v>36</v>
      </c>
      <c r="J14" t="n">
        <v>96.0835</v>
      </c>
      <c r="K14" t="n">
        <v>0.03858</v>
      </c>
      <c r="L14" t="n">
        <v>95.0515</v>
      </c>
      <c r="M14" t="n">
        <v>0.04006</v>
      </c>
    </row>
    <row r="15">
      <c r="A15" t="n">
        <v>71.5</v>
      </c>
      <c r="B15" t="n">
        <v>-0.3521</v>
      </c>
      <c r="C15" t="n">
        <v>8.913500000000001</v>
      </c>
      <c r="D15" t="n">
        <v>0.08257</v>
      </c>
      <c r="E15" t="n">
        <v>-0.3833</v>
      </c>
      <c r="F15" t="n">
        <v>8.607799999999999</v>
      </c>
      <c r="G15" t="n">
        <v>0.09041</v>
      </c>
      <c r="I15" t="n">
        <v>37</v>
      </c>
      <c r="J15" t="n">
        <v>96.7337</v>
      </c>
      <c r="K15" t="n">
        <v>0.03879</v>
      </c>
      <c r="L15" t="n">
        <v>95.73990000000001</v>
      </c>
      <c r="M15" t="n">
        <v>0.04024</v>
      </c>
    </row>
    <row r="16">
      <c r="A16" t="n">
        <v>72</v>
      </c>
      <c r="B16" t="n">
        <v>-0.3521</v>
      </c>
      <c r="C16" t="n">
        <v>9.0221</v>
      </c>
      <c r="D16" t="n">
        <v>0.08264000000000001</v>
      </c>
      <c r="E16" t="n">
        <v>-0.3833</v>
      </c>
      <c r="F16" t="n">
        <v>8.707000000000001</v>
      </c>
      <c r="G16" t="n">
        <v>0.09035</v>
      </c>
      <c r="I16" t="n">
        <v>38</v>
      </c>
      <c r="J16" t="n">
        <v>97.3749</v>
      </c>
      <c r="K16" t="n">
        <v>0.039</v>
      </c>
      <c r="L16" t="n">
        <v>96.4187</v>
      </c>
      <c r="M16" t="n">
        <v>0.04041</v>
      </c>
    </row>
    <row r="17">
      <c r="A17" t="n">
        <v>72.5</v>
      </c>
      <c r="B17" t="n">
        <v>-0.3521</v>
      </c>
      <c r="C17" t="n">
        <v>9.129200000000001</v>
      </c>
      <c r="D17" t="n">
        <v>0.08272</v>
      </c>
      <c r="E17" t="n">
        <v>-0.3833</v>
      </c>
      <c r="F17" t="n">
        <v>8.805300000000001</v>
      </c>
      <c r="G17" t="n">
        <v>0.09028</v>
      </c>
      <c r="I17" t="n">
        <v>39</v>
      </c>
      <c r="J17" t="n">
        <v>98.0073</v>
      </c>
      <c r="K17" t="n">
        <v>0.03919</v>
      </c>
      <c r="L17" t="n">
        <v>97.0885</v>
      </c>
      <c r="M17" t="n">
        <v>0.04057</v>
      </c>
    </row>
    <row r="18">
      <c r="A18" t="n">
        <v>73</v>
      </c>
      <c r="B18" t="n">
        <v>-0.3521</v>
      </c>
      <c r="C18" t="n">
        <v>9.2347</v>
      </c>
      <c r="D18" t="n">
        <v>0.08278000000000001</v>
      </c>
      <c r="E18" t="n">
        <v>-0.3833</v>
      </c>
      <c r="F18" t="n">
        <v>8.9025</v>
      </c>
      <c r="G18" t="n">
        <v>0.09021999999999999</v>
      </c>
      <c r="I18" t="n">
        <v>40</v>
      </c>
      <c r="J18" t="n">
        <v>98.631</v>
      </c>
      <c r="K18" t="n">
        <v>0.03937</v>
      </c>
      <c r="L18" t="n">
        <v>97.74930000000001</v>
      </c>
      <c r="M18" t="n">
        <v>0.04073</v>
      </c>
    </row>
    <row r="19">
      <c r="A19" t="n">
        <v>73.5</v>
      </c>
      <c r="B19" t="n">
        <v>-0.3521</v>
      </c>
      <c r="C19" t="n">
        <v>9.339</v>
      </c>
      <c r="D19" t="n">
        <v>0.08284999999999999</v>
      </c>
      <c r="E19" t="n">
        <v>-0.3833</v>
      </c>
      <c r="F19" t="n">
        <v>8.9983</v>
      </c>
      <c r="G19" t="n">
        <v>0.09016</v>
      </c>
      <c r="I19" t="n">
        <v>41</v>
      </c>
      <c r="J19" t="n">
        <v>99.24590000000001</v>
      </c>
      <c r="K19" t="n">
        <v>0.03954</v>
      </c>
      <c r="L19" t="n">
        <v>98.4015</v>
      </c>
      <c r="M19" t="n">
        <v>0.04089</v>
      </c>
    </row>
    <row r="20">
      <c r="A20" t="n">
        <v>74</v>
      </c>
      <c r="B20" t="n">
        <v>-0.3521</v>
      </c>
      <c r="C20" t="n">
        <v>9.442</v>
      </c>
      <c r="D20" t="n">
        <v>0.08291999999999999</v>
      </c>
      <c r="E20" t="n">
        <v>-0.3833</v>
      </c>
      <c r="F20" t="n">
        <v>9.0928</v>
      </c>
      <c r="G20" t="n">
        <v>0.09009</v>
      </c>
      <c r="I20" t="n">
        <v>42</v>
      </c>
      <c r="J20" t="n">
        <v>99.8515</v>
      </c>
      <c r="K20" t="n">
        <v>0.03971</v>
      </c>
      <c r="L20" t="n">
        <v>99.0448</v>
      </c>
      <c r="M20" t="n">
        <v>0.04105</v>
      </c>
    </row>
    <row r="21">
      <c r="A21" t="n">
        <v>74.5</v>
      </c>
      <c r="B21" t="n">
        <v>-0.3521</v>
      </c>
      <c r="C21" t="n">
        <v>9.543799999999999</v>
      </c>
      <c r="D21" t="n">
        <v>0.08298</v>
      </c>
      <c r="E21" t="n">
        <v>-0.3833</v>
      </c>
      <c r="F21" t="n">
        <v>9.186199999999999</v>
      </c>
      <c r="G21" t="n">
        <v>0.09003</v>
      </c>
      <c r="I21" t="n">
        <v>43</v>
      </c>
      <c r="J21" t="n">
        <v>100.4485</v>
      </c>
      <c r="K21" t="n">
        <v>0.03986</v>
      </c>
      <c r="L21" t="n">
        <v>99.6795</v>
      </c>
      <c r="M21" t="n">
        <v>0.0412</v>
      </c>
    </row>
    <row r="22">
      <c r="A22" t="n">
        <v>75</v>
      </c>
      <c r="B22" t="n">
        <v>-0.3521</v>
      </c>
      <c r="C22" t="n">
        <v>9.644</v>
      </c>
      <c r="D22" t="n">
        <v>0.08303000000000001</v>
      </c>
      <c r="E22" t="n">
        <v>-0.3833</v>
      </c>
      <c r="F22" t="n">
        <v>9.278600000000001</v>
      </c>
      <c r="G22" t="n">
        <v>0.08996</v>
      </c>
      <c r="I22" t="n">
        <v>44</v>
      </c>
      <c r="J22" t="n">
        <v>101.0374</v>
      </c>
      <c r="K22" t="n">
        <v>0.04002</v>
      </c>
      <c r="L22" t="n">
        <v>100.3058</v>
      </c>
      <c r="M22" t="n">
        <v>0.04135</v>
      </c>
    </row>
    <row r="23">
      <c r="A23" t="n">
        <v>75.5</v>
      </c>
      <c r="B23" t="n">
        <v>-0.3521</v>
      </c>
      <c r="C23" t="n">
        <v>9.7425</v>
      </c>
      <c r="D23" t="n">
        <v>0.08308</v>
      </c>
      <c r="E23" t="n">
        <v>-0.3833</v>
      </c>
      <c r="F23" t="n">
        <v>9.3703</v>
      </c>
      <c r="G23" t="n">
        <v>0.08989</v>
      </c>
      <c r="I23" t="n">
        <v>45</v>
      </c>
      <c r="J23" t="n">
        <v>101.6186</v>
      </c>
      <c r="K23" t="n">
        <v>0.04016</v>
      </c>
      <c r="L23" t="n">
        <v>100.9238</v>
      </c>
      <c r="M23" t="n">
        <v>0.0415</v>
      </c>
    </row>
    <row r="24">
      <c r="A24" t="n">
        <v>76</v>
      </c>
      <c r="B24" t="n">
        <v>-0.3521</v>
      </c>
      <c r="C24" t="n">
        <v>9.8392</v>
      </c>
      <c r="D24" t="n">
        <v>0.08312</v>
      </c>
      <c r="E24" t="n">
        <v>-0.3833</v>
      </c>
      <c r="F24" t="n">
        <v>9.4617</v>
      </c>
      <c r="G24" t="n">
        <v>0.08982999999999999</v>
      </c>
      <c r="I24" t="n">
        <v>46</v>
      </c>
      <c r="J24" t="n">
        <v>102.1933</v>
      </c>
      <c r="K24" t="n">
        <v>0.04031</v>
      </c>
      <c r="L24" t="n">
        <v>101.5337</v>
      </c>
      <c r="M24" t="n">
        <v>0.04164</v>
      </c>
    </row>
    <row r="25">
      <c r="A25" t="n">
        <v>76.5</v>
      </c>
      <c r="B25" t="n">
        <v>-0.3521</v>
      </c>
      <c r="C25" t="n">
        <v>9.934100000000001</v>
      </c>
      <c r="D25" t="n">
        <v>0.08315</v>
      </c>
      <c r="E25" t="n">
        <v>-0.3833</v>
      </c>
      <c r="F25" t="n">
        <v>9.5533</v>
      </c>
      <c r="G25" t="n">
        <v>0.08976000000000001</v>
      </c>
      <c r="I25" t="n">
        <v>47</v>
      </c>
      <c r="J25" t="n">
        <v>102.7625</v>
      </c>
      <c r="K25" t="n">
        <v>0.04045</v>
      </c>
      <c r="L25" t="n">
        <v>102.136</v>
      </c>
      <c r="M25" t="n">
        <v>0.04179</v>
      </c>
    </row>
    <row r="26">
      <c r="A26" t="n">
        <v>77</v>
      </c>
      <c r="B26" t="n">
        <v>-0.3521</v>
      </c>
      <c r="C26" t="n">
        <v>10.0274</v>
      </c>
      <c r="D26" t="n">
        <v>0.08316999999999999</v>
      </c>
      <c r="E26" t="n">
        <v>-0.3833</v>
      </c>
      <c r="F26" t="n">
        <v>9.6456</v>
      </c>
      <c r="G26" t="n">
        <v>0.08969000000000001</v>
      </c>
      <c r="I26" t="n">
        <v>48</v>
      </c>
      <c r="J26" t="n">
        <v>103.3273</v>
      </c>
      <c r="K26" t="n">
        <v>0.04059</v>
      </c>
      <c r="L26" t="n">
        <v>102.7312</v>
      </c>
      <c r="M26" t="n">
        <v>0.04193</v>
      </c>
    </row>
    <row r="27">
      <c r="A27" t="n">
        <v>77.5</v>
      </c>
      <c r="B27" t="n">
        <v>-0.3521</v>
      </c>
      <c r="C27" t="n">
        <v>10.1194</v>
      </c>
      <c r="D27" t="n">
        <v>0.08318</v>
      </c>
      <c r="E27" t="n">
        <v>-0.3833</v>
      </c>
      <c r="F27" t="n">
        <v>9.739000000000001</v>
      </c>
      <c r="G27" t="n">
        <v>0.08963</v>
      </c>
      <c r="I27" t="n">
        <v>49</v>
      </c>
      <c r="J27" t="n">
        <v>103.8886</v>
      </c>
      <c r="K27" t="n">
        <v>0.04073</v>
      </c>
      <c r="L27" t="n">
        <v>103.3197</v>
      </c>
      <c r="M27" t="n">
        <v>0.04206</v>
      </c>
    </row>
    <row r="28">
      <c r="A28" t="n">
        <v>78</v>
      </c>
      <c r="B28" t="n">
        <v>-0.3521</v>
      </c>
      <c r="C28" t="n">
        <v>10.2105</v>
      </c>
      <c r="D28" t="n">
        <v>0.08316999999999999</v>
      </c>
      <c r="E28" t="n">
        <v>-0.3833</v>
      </c>
      <c r="F28" t="n">
        <v>9.8338</v>
      </c>
      <c r="G28" t="n">
        <v>0.08956</v>
      </c>
      <c r="I28" t="n">
        <v>50</v>
      </c>
      <c r="J28" t="n">
        <v>104.4473</v>
      </c>
      <c r="K28" t="n">
        <v>0.04086</v>
      </c>
      <c r="L28" t="n">
        <v>103.9021</v>
      </c>
      <c r="M28" t="n">
        <v>0.0422</v>
      </c>
    </row>
    <row r="29">
      <c r="A29" t="n">
        <v>78.5</v>
      </c>
      <c r="B29" t="n">
        <v>-0.3521</v>
      </c>
      <c r="C29" t="n">
        <v>10.3012</v>
      </c>
      <c r="D29" t="n">
        <v>0.08315</v>
      </c>
      <c r="E29" t="n">
        <v>-0.3833</v>
      </c>
      <c r="F29" t="n">
        <v>9.930300000000001</v>
      </c>
      <c r="G29" t="n">
        <v>0.0895</v>
      </c>
      <c r="I29" t="n">
        <v>51</v>
      </c>
      <c r="J29" t="n">
        <v>105.0041</v>
      </c>
      <c r="K29" t="n">
        <v>0.041</v>
      </c>
      <c r="L29" t="n">
        <v>104.4786</v>
      </c>
      <c r="M29" t="n">
        <v>0.04233</v>
      </c>
    </row>
    <row r="30">
      <c r="A30" t="n">
        <v>79</v>
      </c>
      <c r="B30" t="n">
        <v>-0.3521</v>
      </c>
      <c r="C30" t="n">
        <v>10.3923</v>
      </c>
      <c r="D30" t="n">
        <v>0.08311</v>
      </c>
      <c r="E30" t="n">
        <v>-0.3833</v>
      </c>
      <c r="F30" t="n">
        <v>10.0289</v>
      </c>
      <c r="G30" t="n">
        <v>0.08943</v>
      </c>
      <c r="I30" t="n">
        <v>52</v>
      </c>
      <c r="J30" t="n">
        <v>105.5596</v>
      </c>
      <c r="K30" t="n">
        <v>0.04113</v>
      </c>
      <c r="L30" t="n">
        <v>105.0494</v>
      </c>
      <c r="M30" t="n">
        <v>0.04246</v>
      </c>
    </row>
    <row r="31">
      <c r="A31" t="n">
        <v>79.5</v>
      </c>
      <c r="B31" t="n">
        <v>-0.3521</v>
      </c>
      <c r="C31" t="n">
        <v>10.4845</v>
      </c>
      <c r="D31" t="n">
        <v>0.08305</v>
      </c>
      <c r="E31" t="n">
        <v>-0.3833</v>
      </c>
      <c r="F31" t="n">
        <v>10.1298</v>
      </c>
      <c r="G31" t="n">
        <v>0.08937</v>
      </c>
      <c r="I31" t="n">
        <v>53</v>
      </c>
      <c r="J31" t="n">
        <v>106.1138</v>
      </c>
      <c r="K31" t="n">
        <v>0.04126</v>
      </c>
      <c r="L31" t="n">
        <v>105.6148</v>
      </c>
      <c r="M31" t="n">
        <v>0.04259</v>
      </c>
    </row>
    <row r="32">
      <c r="A32" t="n">
        <v>80</v>
      </c>
      <c r="B32" t="n">
        <v>-0.3521</v>
      </c>
      <c r="C32" t="n">
        <v>10.5781</v>
      </c>
      <c r="D32" t="n">
        <v>0.08298</v>
      </c>
      <c r="E32" t="n">
        <v>-0.3833</v>
      </c>
      <c r="F32" t="n">
        <v>10.2332</v>
      </c>
      <c r="G32" t="n">
        <v>0.08932</v>
      </c>
      <c r="I32" t="n">
        <v>54</v>
      </c>
      <c r="J32" t="n">
        <v>106.6668</v>
      </c>
      <c r="K32" t="n">
        <v>0.04139</v>
      </c>
      <c r="L32" t="n">
        <v>106.1748</v>
      </c>
      <c r="M32" t="n">
        <v>0.04272</v>
      </c>
    </row>
    <row r="33">
      <c r="A33" t="n">
        <v>80.5</v>
      </c>
      <c r="B33" t="n">
        <v>-0.3521</v>
      </c>
      <c r="C33" t="n">
        <v>10.6737</v>
      </c>
      <c r="D33" t="n">
        <v>0.0829</v>
      </c>
      <c r="E33" t="n">
        <v>-0.3833</v>
      </c>
      <c r="F33" t="n">
        <v>10.3393</v>
      </c>
      <c r="G33" t="n">
        <v>0.08926000000000001</v>
      </c>
      <c r="I33" t="n">
        <v>55</v>
      </c>
      <c r="J33" t="n">
        <v>107.2188</v>
      </c>
      <c r="K33" t="n">
        <v>0.04152</v>
      </c>
      <c r="L33" t="n">
        <v>106.7295</v>
      </c>
      <c r="M33" t="n">
        <v>0.04285</v>
      </c>
    </row>
    <row r="34">
      <c r="A34" t="n">
        <v>81</v>
      </c>
      <c r="B34" t="n">
        <v>-0.3521</v>
      </c>
      <c r="C34" t="n">
        <v>10.7718</v>
      </c>
      <c r="D34" t="n">
        <v>0.08279</v>
      </c>
      <c r="E34" t="n">
        <v>-0.3833</v>
      </c>
      <c r="F34" t="n">
        <v>10.4477</v>
      </c>
      <c r="G34" t="n">
        <v>0.08921</v>
      </c>
      <c r="I34" t="n">
        <v>56</v>
      </c>
      <c r="J34" t="n">
        <v>107.7697</v>
      </c>
      <c r="K34" t="n">
        <v>0.04165</v>
      </c>
      <c r="L34" t="n">
        <v>107.2788</v>
      </c>
      <c r="M34" t="n">
        <v>0.04298</v>
      </c>
    </row>
    <row r="35">
      <c r="A35" t="n">
        <v>81.5</v>
      </c>
      <c r="B35" t="n">
        <v>-0.3521</v>
      </c>
      <c r="C35" t="n">
        <v>10.8728</v>
      </c>
      <c r="D35" t="n">
        <v>0.08268</v>
      </c>
      <c r="E35" t="n">
        <v>-0.3833</v>
      </c>
      <c r="F35" t="n">
        <v>10.5586</v>
      </c>
      <c r="G35" t="n">
        <v>0.08916</v>
      </c>
      <c r="I35" t="n">
        <v>57</v>
      </c>
      <c r="J35" t="n">
        <v>108.3198</v>
      </c>
      <c r="K35" t="n">
        <v>0.04177</v>
      </c>
      <c r="L35" t="n">
        <v>107.8227</v>
      </c>
      <c r="M35" t="n">
        <v>0.0431</v>
      </c>
    </row>
    <row r="36">
      <c r="A36" t="n">
        <v>82</v>
      </c>
      <c r="B36" t="n">
        <v>-0.3521</v>
      </c>
      <c r="C36" t="n">
        <v>10.9772</v>
      </c>
      <c r="D36" t="n">
        <v>0.08255</v>
      </c>
      <c r="E36" t="n">
        <v>-0.3833</v>
      </c>
      <c r="F36" t="n">
        <v>10.6719</v>
      </c>
      <c r="G36" t="n">
        <v>0.08912</v>
      </c>
      <c r="I36" t="n">
        <v>58</v>
      </c>
      <c r="J36" t="n">
        <v>108.8689</v>
      </c>
      <c r="K36" t="n">
        <v>0.0419</v>
      </c>
      <c r="L36" t="n">
        <v>108.3613</v>
      </c>
      <c r="M36" t="n">
        <v>0.04322</v>
      </c>
    </row>
    <row r="37">
      <c r="A37" t="n">
        <v>82.5</v>
      </c>
      <c r="B37" t="n">
        <v>-0.3521</v>
      </c>
      <c r="C37" t="n">
        <v>11.0851</v>
      </c>
      <c r="D37" t="n">
        <v>0.08241</v>
      </c>
      <c r="E37" t="n">
        <v>-0.3833</v>
      </c>
      <c r="F37" t="n">
        <v>10.7874</v>
      </c>
      <c r="G37" t="n">
        <v>0.08908000000000001</v>
      </c>
      <c r="I37" t="n">
        <v>59</v>
      </c>
      <c r="J37" t="n">
        <v>109.417</v>
      </c>
      <c r="K37" t="n">
        <v>0.04202</v>
      </c>
      <c r="L37" t="n">
        <v>108.8948</v>
      </c>
      <c r="M37" t="n">
        <v>0.04334</v>
      </c>
    </row>
    <row r="38">
      <c r="A38" t="n">
        <v>83</v>
      </c>
      <c r="B38" t="n">
        <v>-0.3521</v>
      </c>
      <c r="C38" t="n">
        <v>11.1966</v>
      </c>
      <c r="D38" t="n">
        <v>0.08225</v>
      </c>
      <c r="E38" t="n">
        <v>-0.3833</v>
      </c>
      <c r="F38" t="n">
        <v>10.9051</v>
      </c>
      <c r="G38" t="n">
        <v>0.08905</v>
      </c>
      <c r="I38" t="n">
        <v>60</v>
      </c>
      <c r="J38" t="n">
        <v>109.9638</v>
      </c>
      <c r="K38" t="n">
        <v>0.04214</v>
      </c>
      <c r="L38" t="n">
        <v>109.4233</v>
      </c>
      <c r="M38" t="n">
        <v>0.04347</v>
      </c>
    </row>
    <row r="39">
      <c r="A39" t="n">
        <v>83.5</v>
      </c>
      <c r="B39" t="n">
        <v>-0.3521</v>
      </c>
      <c r="C39" t="n">
        <v>11.3114</v>
      </c>
      <c r="D39" t="n">
        <v>0.08209</v>
      </c>
      <c r="E39" t="n">
        <v>-0.3833</v>
      </c>
      <c r="F39" t="n">
        <v>11.0248</v>
      </c>
      <c r="G39" t="n">
        <v>0.08902</v>
      </c>
      <c r="I39" t="n">
        <v>61</v>
      </c>
      <c r="J39" t="n">
        <v>110.2647</v>
      </c>
      <c r="K39" t="n">
        <v>0.04164</v>
      </c>
      <c r="L39" t="n">
        <v>109.6016</v>
      </c>
      <c r="M39" t="n">
        <v>0.04355</v>
      </c>
    </row>
    <row r="40">
      <c r="A40" t="n">
        <v>84</v>
      </c>
      <c r="B40" t="n">
        <v>-0.3521</v>
      </c>
      <c r="C40" t="n">
        <v>11.429</v>
      </c>
      <c r="D40" t="n">
        <v>0.08191</v>
      </c>
      <c r="E40" t="n">
        <v>-0.3833</v>
      </c>
      <c r="F40" t="n">
        <v>11.1462</v>
      </c>
      <c r="G40" t="n">
        <v>0.08899</v>
      </c>
      <c r="I40" t="n">
        <v>62</v>
      </c>
      <c r="J40" t="n">
        <v>110.8006</v>
      </c>
      <c r="K40" t="n">
        <v>0.04172</v>
      </c>
      <c r="L40" t="n">
        <v>110.1258</v>
      </c>
      <c r="M40" t="n">
        <v>0.04364</v>
      </c>
    </row>
    <row r="41">
      <c r="A41" t="n">
        <v>84.5</v>
      </c>
      <c r="B41" t="n">
        <v>-0.3521</v>
      </c>
      <c r="C41" t="n">
        <v>11.549</v>
      </c>
      <c r="D41" t="n">
        <v>0.08173999999999999</v>
      </c>
      <c r="E41" t="n">
        <v>-0.3833</v>
      </c>
      <c r="F41" t="n">
        <v>11.2691</v>
      </c>
      <c r="G41" t="n">
        <v>0.08896999999999999</v>
      </c>
      <c r="I41" t="n">
        <v>63</v>
      </c>
      <c r="J41" t="n">
        <v>111.3338</v>
      </c>
      <c r="K41" t="n">
        <v>0.0418</v>
      </c>
      <c r="L41" t="n">
        <v>110.6451</v>
      </c>
      <c r="M41" t="n">
        <v>0.04373</v>
      </c>
    </row>
    <row r="42">
      <c r="A42" t="n">
        <v>85</v>
      </c>
      <c r="B42" t="n">
        <v>-0.3521</v>
      </c>
      <c r="C42" t="n">
        <v>11.6707</v>
      </c>
      <c r="D42" t="n">
        <v>0.08155999999999999</v>
      </c>
      <c r="E42" t="n">
        <v>-0.3833</v>
      </c>
      <c r="F42" t="n">
        <v>11.3934</v>
      </c>
      <c r="G42" t="n">
        <v>0.08896</v>
      </c>
      <c r="I42" t="n">
        <v>64</v>
      </c>
      <c r="J42" t="n">
        <v>111.8636</v>
      </c>
      <c r="K42" t="n">
        <v>0.04187</v>
      </c>
      <c r="L42" t="n">
        <v>111.1596</v>
      </c>
      <c r="M42" t="n">
        <v>0.04382</v>
      </c>
    </row>
    <row r="43">
      <c r="A43" t="n">
        <v>85.5</v>
      </c>
      <c r="B43" t="n">
        <v>-0.3521</v>
      </c>
      <c r="C43" t="n">
        <v>11.7937</v>
      </c>
      <c r="D43" t="n">
        <v>0.08137999999999999</v>
      </c>
      <c r="E43" t="n">
        <v>-0.3833</v>
      </c>
      <c r="F43" t="n">
        <v>11.5186</v>
      </c>
      <c r="G43" t="n">
        <v>0.08895</v>
      </c>
      <c r="I43" t="n">
        <v>65</v>
      </c>
      <c r="J43" t="n">
        <v>112.3895</v>
      </c>
      <c r="K43" t="n">
        <v>0.04195</v>
      </c>
      <c r="L43" t="n">
        <v>111.6696</v>
      </c>
      <c r="M43" t="n">
        <v>0.0439</v>
      </c>
    </row>
    <row r="44">
      <c r="A44" t="n">
        <v>86</v>
      </c>
      <c r="B44" t="n">
        <v>-0.3521</v>
      </c>
      <c r="C44" t="n">
        <v>11.9173</v>
      </c>
      <c r="D44" t="n">
        <v>0.08121</v>
      </c>
      <c r="E44" t="n">
        <v>-0.3833</v>
      </c>
      <c r="F44" t="n">
        <v>11.6444</v>
      </c>
      <c r="G44" t="n">
        <v>0.08895</v>
      </c>
      <c r="I44" t="n">
        <v>66</v>
      </c>
      <c r="J44" t="n">
        <v>112.911</v>
      </c>
      <c r="K44" t="n">
        <v>0.04203</v>
      </c>
      <c r="L44" t="n">
        <v>112.1753</v>
      </c>
      <c r="M44" t="n">
        <v>0.04399</v>
      </c>
    </row>
    <row r="45">
      <c r="A45" t="n">
        <v>86.5</v>
      </c>
      <c r="B45" t="n">
        <v>-0.3521</v>
      </c>
      <c r="C45" t="n">
        <v>12.0411</v>
      </c>
      <c r="D45" t="n">
        <v>0.08105</v>
      </c>
      <c r="E45" t="n">
        <v>-0.3833</v>
      </c>
      <c r="F45" t="n">
        <v>11.7705</v>
      </c>
      <c r="G45" t="n">
        <v>0.08895</v>
      </c>
      <c r="I45" t="n">
        <v>67</v>
      </c>
      <c r="J45" t="n">
        <v>113.428</v>
      </c>
      <c r="K45" t="n">
        <v>0.04211</v>
      </c>
      <c r="L45" t="n">
        <v>112.6767</v>
      </c>
      <c r="M45" t="n">
        <v>0.04407</v>
      </c>
    </row>
    <row r="46">
      <c r="A46" t="n">
        <v>87</v>
      </c>
      <c r="B46" t="n">
        <v>-0.3521</v>
      </c>
      <c r="C46" t="n">
        <v>12.1645</v>
      </c>
      <c r="D46" t="n">
        <v>0.0809</v>
      </c>
      <c r="E46" t="n">
        <v>-0.3833</v>
      </c>
      <c r="F46" t="n">
        <v>11.8965</v>
      </c>
      <c r="G46" t="n">
        <v>0.08896</v>
      </c>
      <c r="I46" t="n">
        <v>68</v>
      </c>
      <c r="J46" t="n">
        <v>113.941</v>
      </c>
      <c r="K46" t="n">
        <v>0.04218</v>
      </c>
      <c r="L46" t="n">
        <v>113.174</v>
      </c>
      <c r="M46" t="n">
        <v>0.04415</v>
      </c>
    </row>
    <row r="47">
      <c r="A47" t="n">
        <v>87.5</v>
      </c>
      <c r="B47" t="n">
        <v>-0.3521</v>
      </c>
      <c r="C47" t="n">
        <v>12.2871</v>
      </c>
      <c r="D47" t="n">
        <v>0.08076</v>
      </c>
      <c r="E47" t="n">
        <v>-0.3833</v>
      </c>
      <c r="F47" t="n">
        <v>12.0223</v>
      </c>
      <c r="G47" t="n">
        <v>0.08896999999999999</v>
      </c>
      <c r="I47" t="n">
        <v>69</v>
      </c>
      <c r="J47" t="n">
        <v>114.45</v>
      </c>
      <c r="K47" t="n">
        <v>0.04226</v>
      </c>
      <c r="L47" t="n">
        <v>113.6672</v>
      </c>
      <c r="M47" t="n">
        <v>0.04423</v>
      </c>
    </row>
    <row r="48">
      <c r="A48" t="n">
        <v>88</v>
      </c>
      <c r="B48" t="n">
        <v>-0.3521</v>
      </c>
      <c r="C48" t="n">
        <v>12.4089</v>
      </c>
      <c r="D48" t="n">
        <v>0.08064</v>
      </c>
      <c r="E48" t="n">
        <v>-0.3833</v>
      </c>
      <c r="F48" t="n">
        <v>12.1478</v>
      </c>
      <c r="G48" t="n">
        <v>0.08899</v>
      </c>
      <c r="I48" t="n">
        <v>70</v>
      </c>
      <c r="J48" t="n">
        <v>114.9547</v>
      </c>
      <c r="K48" t="n">
        <v>0.04234</v>
      </c>
      <c r="L48" t="n">
        <v>114.1565</v>
      </c>
      <c r="M48" t="n">
        <v>0.04431</v>
      </c>
    </row>
    <row r="49">
      <c r="A49" t="n">
        <v>88.5</v>
      </c>
      <c r="B49" t="n">
        <v>-0.3521</v>
      </c>
      <c r="C49" t="n">
        <v>12.5298</v>
      </c>
      <c r="D49" t="n">
        <v>0.08054</v>
      </c>
      <c r="E49" t="n">
        <v>-0.3833</v>
      </c>
      <c r="F49" t="n">
        <v>12.2729</v>
      </c>
      <c r="G49" t="n">
        <v>0.08901000000000001</v>
      </c>
      <c r="I49" t="n">
        <v>71</v>
      </c>
      <c r="J49" t="n">
        <v>115.4549</v>
      </c>
      <c r="K49" t="n">
        <v>0.04241</v>
      </c>
      <c r="L49" t="n">
        <v>114.6421</v>
      </c>
      <c r="M49" t="n">
        <v>0.04439</v>
      </c>
    </row>
    <row r="50">
      <c r="A50" t="n">
        <v>89</v>
      </c>
      <c r="B50" t="n">
        <v>-0.3521</v>
      </c>
      <c r="C50" t="n">
        <v>12.6495</v>
      </c>
      <c r="D50" t="n">
        <v>0.08044999999999999</v>
      </c>
      <c r="E50" t="n">
        <v>-0.3833</v>
      </c>
      <c r="F50" t="n">
        <v>12.3976</v>
      </c>
      <c r="G50" t="n">
        <v>0.08903999999999999</v>
      </c>
      <c r="I50" t="n">
        <v>72</v>
      </c>
      <c r="J50" t="n">
        <v>115.9509</v>
      </c>
      <c r="K50" t="n">
        <v>0.04249</v>
      </c>
      <c r="L50" t="n">
        <v>115.1244</v>
      </c>
      <c r="M50" t="n">
        <v>0.04447</v>
      </c>
    </row>
    <row r="51">
      <c r="A51" t="n">
        <v>89.5</v>
      </c>
      <c r="B51" t="n">
        <v>-0.3521</v>
      </c>
      <c r="C51" t="n">
        <v>12.7683</v>
      </c>
      <c r="D51" t="n">
        <v>0.08037999999999999</v>
      </c>
      <c r="E51" t="n">
        <v>-0.3833</v>
      </c>
      <c r="F51" t="n">
        <v>12.522</v>
      </c>
      <c r="G51" t="n">
        <v>0.08907</v>
      </c>
      <c r="I51" t="n">
        <v>73</v>
      </c>
      <c r="J51" t="n">
        <v>116.4432</v>
      </c>
      <c r="K51" t="n">
        <v>0.04257</v>
      </c>
      <c r="L51" t="n">
        <v>115.6039</v>
      </c>
      <c r="M51" t="n">
        <v>0.04454</v>
      </c>
    </row>
    <row r="52">
      <c r="A52" t="n">
        <v>90</v>
      </c>
      <c r="B52" t="n">
        <v>-0.3521</v>
      </c>
      <c r="C52" t="n">
        <v>12.8864</v>
      </c>
      <c r="D52" t="n">
        <v>0.08032</v>
      </c>
      <c r="E52" t="n">
        <v>-0.3833</v>
      </c>
      <c r="F52" t="n">
        <v>12.6461</v>
      </c>
      <c r="G52" t="n">
        <v>0.08910999999999999</v>
      </c>
      <c r="I52" t="n">
        <v>74</v>
      </c>
      <c r="J52" t="n">
        <v>116.9325</v>
      </c>
      <c r="K52" t="n">
        <v>0.04264</v>
      </c>
      <c r="L52" t="n">
        <v>116.0812</v>
      </c>
      <c r="M52" t="n">
        <v>0.04461</v>
      </c>
    </row>
    <row r="53">
      <c r="A53" t="n">
        <v>90.5</v>
      </c>
      <c r="B53" t="n">
        <v>-0.3521</v>
      </c>
      <c r="C53" t="n">
        <v>13.0038</v>
      </c>
      <c r="D53" t="n">
        <v>0.08028</v>
      </c>
      <c r="E53" t="n">
        <v>-0.3833</v>
      </c>
      <c r="F53" t="n">
        <v>12.77</v>
      </c>
      <c r="G53" t="n">
        <v>0.08914999999999999</v>
      </c>
      <c r="I53" t="n">
        <v>75</v>
      </c>
      <c r="J53" t="n">
        <v>117.4196</v>
      </c>
      <c r="K53" t="n">
        <v>0.04272</v>
      </c>
      <c r="L53" t="n">
        <v>116.5568</v>
      </c>
      <c r="M53" t="n">
        <v>0.04469</v>
      </c>
    </row>
    <row r="54">
      <c r="A54" t="n">
        <v>91</v>
      </c>
      <c r="B54" t="n">
        <v>-0.3521</v>
      </c>
      <c r="C54" t="n">
        <v>13.1209</v>
      </c>
      <c r="D54" t="n">
        <v>0.08025</v>
      </c>
      <c r="E54" t="n">
        <v>-0.3833</v>
      </c>
      <c r="F54" t="n">
        <v>12.8939</v>
      </c>
      <c r="G54" t="n">
        <v>0.0892</v>
      </c>
      <c r="I54" t="n">
        <v>76</v>
      </c>
      <c r="J54" t="n">
        <v>117.9046</v>
      </c>
      <c r="K54" t="n">
        <v>0.0428</v>
      </c>
      <c r="L54" t="n">
        <v>117.0311</v>
      </c>
      <c r="M54" t="n">
        <v>0.04475</v>
      </c>
    </row>
    <row r="55">
      <c r="A55" t="n">
        <v>91.5</v>
      </c>
      <c r="B55" t="n">
        <v>-0.3521</v>
      </c>
      <c r="C55" t="n">
        <v>13.2376</v>
      </c>
      <c r="D55" t="n">
        <v>0.08024000000000001</v>
      </c>
      <c r="E55" t="n">
        <v>-0.3833</v>
      </c>
      <c r="F55" t="n">
        <v>13.0177</v>
      </c>
      <c r="G55" t="n">
        <v>0.08925</v>
      </c>
      <c r="I55" t="n">
        <v>77</v>
      </c>
      <c r="J55" t="n">
        <v>118.388</v>
      </c>
      <c r="K55" t="n">
        <v>0.04287</v>
      </c>
      <c r="L55" t="n">
        <v>117.5044</v>
      </c>
      <c r="M55" t="n">
        <v>0.04482</v>
      </c>
    </row>
    <row r="56">
      <c r="A56" t="n">
        <v>92</v>
      </c>
      <c r="B56" t="n">
        <v>-0.3521</v>
      </c>
      <c r="C56" t="n">
        <v>13.3541</v>
      </c>
      <c r="D56" t="n">
        <v>0.08025</v>
      </c>
      <c r="E56" t="n">
        <v>-0.3833</v>
      </c>
      <c r="F56" t="n">
        <v>13.1415</v>
      </c>
      <c r="G56" t="n">
        <v>0.08931</v>
      </c>
      <c r="I56" t="n">
        <v>78</v>
      </c>
      <c r="J56" t="n">
        <v>118.87</v>
      </c>
      <c r="K56" t="n">
        <v>0.04295</v>
      </c>
      <c r="L56" t="n">
        <v>117.9769</v>
      </c>
      <c r="M56" t="n">
        <v>0.04489</v>
      </c>
    </row>
    <row r="57">
      <c r="A57" t="n">
        <v>92.5</v>
      </c>
      <c r="B57" t="n">
        <v>-0.3521</v>
      </c>
      <c r="C57" t="n">
        <v>13.4705</v>
      </c>
      <c r="D57" t="n">
        <v>0.08026999999999999</v>
      </c>
      <c r="E57" t="n">
        <v>-0.3833</v>
      </c>
      <c r="F57" t="n">
        <v>13.2654</v>
      </c>
      <c r="G57" t="n">
        <v>0.08937</v>
      </c>
      <c r="I57" t="n">
        <v>79</v>
      </c>
      <c r="J57" t="n">
        <v>119.3508</v>
      </c>
      <c r="K57" t="n">
        <v>0.04303</v>
      </c>
      <c r="L57" t="n">
        <v>118.4489</v>
      </c>
      <c r="M57" t="n">
        <v>0.04495</v>
      </c>
    </row>
    <row r="58">
      <c r="A58" t="n">
        <v>93</v>
      </c>
      <c r="B58" t="n">
        <v>-0.3521</v>
      </c>
      <c r="C58" t="n">
        <v>13.587</v>
      </c>
      <c r="D58" t="n">
        <v>0.08031000000000001</v>
      </c>
      <c r="E58" t="n">
        <v>-0.3833</v>
      </c>
      <c r="F58" t="n">
        <v>13.3896</v>
      </c>
      <c r="G58" t="n">
        <v>0.08944000000000001</v>
      </c>
      <c r="I58" t="n">
        <v>80</v>
      </c>
      <c r="J58" t="n">
        <v>119.8303</v>
      </c>
      <c r="K58" t="n">
        <v>0.04311</v>
      </c>
      <c r="L58" t="n">
        <v>118.9208</v>
      </c>
      <c r="M58" t="n">
        <v>0.04502</v>
      </c>
    </row>
    <row r="59">
      <c r="A59" t="n">
        <v>93.5</v>
      </c>
      <c r="B59" t="n">
        <v>-0.3521</v>
      </c>
      <c r="C59" t="n">
        <v>13.7041</v>
      </c>
      <c r="D59" t="n">
        <v>0.08036</v>
      </c>
      <c r="E59" t="n">
        <v>-0.3833</v>
      </c>
      <c r="F59" t="n">
        <v>13.5142</v>
      </c>
      <c r="G59" t="n">
        <v>0.08951000000000001</v>
      </c>
      <c r="I59" t="n">
        <v>81</v>
      </c>
      <c r="J59" t="n">
        <v>120.3085</v>
      </c>
      <c r="K59" t="n">
        <v>0.04318</v>
      </c>
      <c r="L59" t="n">
        <v>119.3926</v>
      </c>
      <c r="M59" t="n">
        <v>0.04508</v>
      </c>
    </row>
    <row r="60">
      <c r="A60" t="n">
        <v>94</v>
      </c>
      <c r="B60" t="n">
        <v>-0.3521</v>
      </c>
      <c r="C60" t="n">
        <v>13.8217</v>
      </c>
      <c r="D60" t="n">
        <v>0.08043</v>
      </c>
      <c r="E60" t="n">
        <v>-0.3833</v>
      </c>
      <c r="F60" t="n">
        <v>13.6393</v>
      </c>
      <c r="G60" t="n">
        <v>0.08959</v>
      </c>
      <c r="I60" t="n">
        <v>82</v>
      </c>
      <c r="J60" t="n">
        <v>120.7853</v>
      </c>
      <c r="K60" t="n">
        <v>0.04326</v>
      </c>
      <c r="L60" t="n">
        <v>119.8648</v>
      </c>
      <c r="M60" t="n">
        <v>0.04514</v>
      </c>
    </row>
    <row r="61">
      <c r="A61" t="n">
        <v>94.5</v>
      </c>
      <c r="B61" t="n">
        <v>-0.3521</v>
      </c>
      <c r="C61" t="n">
        <v>13.9403</v>
      </c>
      <c r="D61" t="n">
        <v>0.08051</v>
      </c>
      <c r="E61" t="n">
        <v>-0.3833</v>
      </c>
      <c r="F61" t="n">
        <v>13.765</v>
      </c>
      <c r="G61" t="n">
        <v>0.08967</v>
      </c>
      <c r="I61" t="n">
        <v>83</v>
      </c>
      <c r="J61" t="n">
        <v>121.2604</v>
      </c>
      <c r="K61" t="n">
        <v>0.04334</v>
      </c>
      <c r="L61" t="n">
        <v>120.3374</v>
      </c>
      <c r="M61" t="n">
        <v>0.0452</v>
      </c>
    </row>
    <row r="62">
      <c r="A62" t="n">
        <v>95</v>
      </c>
      <c r="B62" t="n">
        <v>-0.3521</v>
      </c>
      <c r="C62" t="n">
        <v>14.06</v>
      </c>
      <c r="D62" t="n">
        <v>0.0806</v>
      </c>
      <c r="E62" t="n">
        <v>-0.3833</v>
      </c>
      <c r="F62" t="n">
        <v>13.8914</v>
      </c>
      <c r="G62" t="n">
        <v>0.08975</v>
      </c>
    </row>
    <row r="63">
      <c r="A63" t="n">
        <v>95.5</v>
      </c>
      <c r="B63" t="n">
        <v>-0.3521</v>
      </c>
      <c r="C63" t="n">
        <v>14.1811</v>
      </c>
      <c r="D63" t="n">
        <v>0.08071</v>
      </c>
      <c r="E63" t="n">
        <v>-0.3833</v>
      </c>
      <c r="F63" t="n">
        <v>14.0186</v>
      </c>
      <c r="G63" t="n">
        <v>0.08984</v>
      </c>
    </row>
    <row r="64">
      <c r="A64" t="n">
        <v>96</v>
      </c>
      <c r="B64" t="n">
        <v>-0.3521</v>
      </c>
      <c r="C64" t="n">
        <v>14.3037</v>
      </c>
      <c r="D64" t="n">
        <v>0.08083</v>
      </c>
      <c r="E64" t="n">
        <v>-0.3833</v>
      </c>
      <c r="F64" t="n">
        <v>14.1466</v>
      </c>
      <c r="G64" t="n">
        <v>0.08994000000000001</v>
      </c>
    </row>
    <row r="65">
      <c r="A65" t="n">
        <v>96.5</v>
      </c>
      <c r="B65" t="n">
        <v>-0.3521</v>
      </c>
      <c r="C65" t="n">
        <v>14.4282</v>
      </c>
      <c r="D65" t="n">
        <v>0.08097</v>
      </c>
      <c r="E65" t="n">
        <v>-0.3833</v>
      </c>
      <c r="F65" t="n">
        <v>14.2757</v>
      </c>
      <c r="G65" t="n">
        <v>0.09004</v>
      </c>
    </row>
    <row r="66">
      <c r="A66" t="n">
        <v>97</v>
      </c>
      <c r="B66" t="n">
        <v>-0.3521</v>
      </c>
      <c r="C66" t="n">
        <v>14.5547</v>
      </c>
      <c r="D66" t="n">
        <v>0.08112</v>
      </c>
      <c r="E66" t="n">
        <v>-0.3833</v>
      </c>
      <c r="F66" t="n">
        <v>14.4059</v>
      </c>
      <c r="G66" t="n">
        <v>0.09014999999999999</v>
      </c>
    </row>
    <row r="67">
      <c r="A67" t="n">
        <v>97.5</v>
      </c>
      <c r="B67" t="n">
        <v>-0.3521</v>
      </c>
      <c r="C67" t="n">
        <v>14.6832</v>
      </c>
      <c r="D67" t="n">
        <v>0.08129</v>
      </c>
      <c r="E67" t="n">
        <v>-0.3833</v>
      </c>
      <c r="F67" t="n">
        <v>14.5376</v>
      </c>
      <c r="G67" t="n">
        <v>0.09026000000000001</v>
      </c>
    </row>
    <row r="68">
      <c r="A68" t="n">
        <v>98</v>
      </c>
      <c r="B68" t="n">
        <v>-0.3521</v>
      </c>
      <c r="C68" t="n">
        <v>14.814</v>
      </c>
      <c r="D68" t="n">
        <v>0.08146</v>
      </c>
      <c r="E68" t="n">
        <v>-0.3833</v>
      </c>
      <c r="F68" t="n">
        <v>14.671</v>
      </c>
      <c r="G68" t="n">
        <v>0.09037000000000001</v>
      </c>
    </row>
    <row r="69">
      <c r="A69" t="n">
        <v>98.5</v>
      </c>
      <c r="B69" t="n">
        <v>-0.3521</v>
      </c>
      <c r="C69" t="n">
        <v>14.9468</v>
      </c>
      <c r="D69" t="n">
        <v>0.08165</v>
      </c>
      <c r="E69" t="n">
        <v>-0.3833</v>
      </c>
      <c r="F69" t="n">
        <v>14.8062</v>
      </c>
      <c r="G69" t="n">
        <v>0.09049</v>
      </c>
    </row>
    <row r="70">
      <c r="A70" t="n">
        <v>99</v>
      </c>
      <c r="B70" t="n">
        <v>-0.3521</v>
      </c>
      <c r="C70" t="n">
        <v>15.0818</v>
      </c>
      <c r="D70" t="n">
        <v>0.08185000000000001</v>
      </c>
      <c r="E70" t="n">
        <v>-0.3833</v>
      </c>
      <c r="F70" t="n">
        <v>14.9434</v>
      </c>
      <c r="G70" t="n">
        <v>0.09062000000000001</v>
      </c>
    </row>
    <row r="71">
      <c r="A71" t="n">
        <v>99.5</v>
      </c>
      <c r="B71" t="n">
        <v>-0.3521</v>
      </c>
      <c r="C71" t="n">
        <v>15.2187</v>
      </c>
      <c r="D71" t="n">
        <v>0.08205999999999999</v>
      </c>
      <c r="E71" t="n">
        <v>-0.3833</v>
      </c>
      <c r="F71" t="n">
        <v>15.0828</v>
      </c>
      <c r="G71" t="n">
        <v>0.09075</v>
      </c>
    </row>
    <row r="72">
      <c r="A72" t="n">
        <v>100</v>
      </c>
      <c r="B72" t="n">
        <v>-0.3521</v>
      </c>
      <c r="C72" t="n">
        <v>15.3576</v>
      </c>
      <c r="D72" t="n">
        <v>0.08229</v>
      </c>
      <c r="E72" t="n">
        <v>-0.3833</v>
      </c>
      <c r="F72" t="n">
        <v>15.2246</v>
      </c>
      <c r="G72" t="n">
        <v>0.09088</v>
      </c>
    </row>
    <row r="73">
      <c r="A73" t="n">
        <v>100.5</v>
      </c>
      <c r="B73" t="n">
        <v>-0.3521</v>
      </c>
      <c r="C73" t="n">
        <v>15.4985</v>
      </c>
      <c r="D73" t="n">
        <v>0.08252</v>
      </c>
      <c r="E73" t="n">
        <v>-0.3833</v>
      </c>
      <c r="F73" t="n">
        <v>15.3687</v>
      </c>
      <c r="G73" t="n">
        <v>0.09102</v>
      </c>
    </row>
    <row r="74">
      <c r="A74" t="n">
        <v>101</v>
      </c>
      <c r="B74" t="n">
        <v>-0.3521</v>
      </c>
      <c r="C74" t="n">
        <v>15.6412</v>
      </c>
      <c r="D74" t="n">
        <v>0.08277</v>
      </c>
      <c r="E74" t="n">
        <v>-0.3833</v>
      </c>
      <c r="F74" t="n">
        <v>15.5154</v>
      </c>
      <c r="G74" t="n">
        <v>0.09116</v>
      </c>
    </row>
    <row r="75">
      <c r="A75" t="n">
        <v>101.5</v>
      </c>
      <c r="B75" t="n">
        <v>-0.3521</v>
      </c>
      <c r="C75" t="n">
        <v>15.7857</v>
      </c>
      <c r="D75" t="n">
        <v>0.08302</v>
      </c>
      <c r="E75" t="n">
        <v>-0.3833</v>
      </c>
      <c r="F75" t="n">
        <v>15.6646</v>
      </c>
      <c r="G75" t="n">
        <v>0.09131</v>
      </c>
    </row>
    <row r="76">
      <c r="A76" t="n">
        <v>102</v>
      </c>
      <c r="B76" t="n">
        <v>-0.3521</v>
      </c>
      <c r="C76" t="n">
        <v>15.932</v>
      </c>
      <c r="D76" t="n">
        <v>0.08328000000000001</v>
      </c>
      <c r="E76" t="n">
        <v>-0.3833</v>
      </c>
      <c r="F76" t="n">
        <v>15.8164</v>
      </c>
      <c r="G76" t="n">
        <v>0.09146</v>
      </c>
    </row>
    <row r="77">
      <c r="A77" t="n">
        <v>102.5</v>
      </c>
      <c r="B77" t="n">
        <v>-0.3521</v>
      </c>
      <c r="C77" t="n">
        <v>16.0801</v>
      </c>
      <c r="D77" t="n">
        <v>0.08354</v>
      </c>
      <c r="E77" t="n">
        <v>-0.3833</v>
      </c>
      <c r="F77" t="n">
        <v>15.9707</v>
      </c>
      <c r="G77" t="n">
        <v>0.09161</v>
      </c>
    </row>
    <row r="78">
      <c r="A78" t="n">
        <v>103</v>
      </c>
      <c r="B78" t="n">
        <v>-0.3521</v>
      </c>
      <c r="C78" t="n">
        <v>16.2298</v>
      </c>
      <c r="D78" t="n">
        <v>0.08381</v>
      </c>
      <c r="E78" t="n">
        <v>-0.3833</v>
      </c>
      <c r="F78" t="n">
        <v>16.1276</v>
      </c>
      <c r="G78" t="n">
        <v>0.09177</v>
      </c>
    </row>
    <row r="79">
      <c r="A79" t="n">
        <v>103.5</v>
      </c>
      <c r="B79" t="n">
        <v>-0.3521</v>
      </c>
      <c r="C79" t="n">
        <v>16.3812</v>
      </c>
      <c r="D79" t="n">
        <v>0.08408</v>
      </c>
      <c r="E79" t="n">
        <v>-0.3833</v>
      </c>
      <c r="F79" t="n">
        <v>16.287</v>
      </c>
      <c r="G79" t="n">
        <v>0.09193</v>
      </c>
    </row>
    <row r="80">
      <c r="A80" t="n">
        <v>104</v>
      </c>
      <c r="B80" t="n">
        <v>-0.3521</v>
      </c>
      <c r="C80" t="n">
        <v>16.5342</v>
      </c>
      <c r="D80" t="n">
        <v>0.08436</v>
      </c>
      <c r="E80" t="n">
        <v>-0.3833</v>
      </c>
      <c r="F80" t="n">
        <v>16.4488</v>
      </c>
      <c r="G80" t="n">
        <v>0.09209000000000001</v>
      </c>
    </row>
    <row r="81">
      <c r="A81" t="n">
        <v>104.5</v>
      </c>
      <c r="B81" t="n">
        <v>-0.3521</v>
      </c>
      <c r="C81" t="n">
        <v>16.6889</v>
      </c>
      <c r="D81" t="n">
        <v>0.08464000000000001</v>
      </c>
      <c r="E81" t="n">
        <v>-0.3833</v>
      </c>
      <c r="F81" t="n">
        <v>16.6131</v>
      </c>
      <c r="G81" t="n">
        <v>0.09225999999999999</v>
      </c>
    </row>
    <row r="82">
      <c r="A82" t="n">
        <v>105</v>
      </c>
      <c r="B82" t="n">
        <v>-0.3521</v>
      </c>
      <c r="C82" t="n">
        <v>16.8454</v>
      </c>
      <c r="D82" t="n">
        <v>0.08493000000000001</v>
      </c>
      <c r="E82" t="n">
        <v>-0.3833</v>
      </c>
      <c r="F82" t="n">
        <v>16.78</v>
      </c>
      <c r="G82" t="n">
        <v>0.09243</v>
      </c>
    </row>
    <row r="83">
      <c r="A83" t="n">
        <v>105.5</v>
      </c>
      <c r="B83" t="n">
        <v>-0.3521</v>
      </c>
      <c r="C83" t="n">
        <v>17.0036</v>
      </c>
      <c r="D83" t="n">
        <v>0.08520999999999999</v>
      </c>
      <c r="E83" t="n">
        <v>-0.3833</v>
      </c>
      <c r="F83" t="n">
        <v>16.9496</v>
      </c>
      <c r="G83" t="n">
        <v>0.09261</v>
      </c>
    </row>
    <row r="84">
      <c r="A84" t="n">
        <v>106</v>
      </c>
      <c r="B84" t="n">
        <v>-0.3521</v>
      </c>
      <c r="C84" t="n">
        <v>17.1637</v>
      </c>
      <c r="D84" t="n">
        <v>0.08551</v>
      </c>
      <c r="E84" t="n">
        <v>-0.3833</v>
      </c>
      <c r="F84" t="n">
        <v>17.122</v>
      </c>
      <c r="G84" t="n">
        <v>0.09278</v>
      </c>
    </row>
    <row r="85">
      <c r="A85" t="n">
        <v>106.5</v>
      </c>
      <c r="B85" t="n">
        <v>-0.3521</v>
      </c>
      <c r="C85" t="n">
        <v>17.3256</v>
      </c>
      <c r="D85" t="n">
        <v>0.0858</v>
      </c>
      <c r="E85" t="n">
        <v>-0.3833</v>
      </c>
      <c r="F85" t="n">
        <v>17.2973</v>
      </c>
      <c r="G85" t="n">
        <v>0.09296</v>
      </c>
    </row>
    <row r="86">
      <c r="A86" t="n">
        <v>107</v>
      </c>
      <c r="B86" t="n">
        <v>-0.3521</v>
      </c>
      <c r="C86" t="n">
        <v>17.4894</v>
      </c>
      <c r="D86" t="n">
        <v>0.08611000000000001</v>
      </c>
      <c r="E86" t="n">
        <v>-0.3833</v>
      </c>
      <c r="F86" t="n">
        <v>17.4755</v>
      </c>
      <c r="G86" t="n">
        <v>0.09315</v>
      </c>
    </row>
    <row r="87">
      <c r="A87" t="n">
        <v>107.5</v>
      </c>
      <c r="B87" t="n">
        <v>-0.3521</v>
      </c>
      <c r="C87" t="n">
        <v>17.655</v>
      </c>
      <c r="D87" t="n">
        <v>0.08641</v>
      </c>
      <c r="E87" t="n">
        <v>-0.3833</v>
      </c>
      <c r="F87" t="n">
        <v>17.6567</v>
      </c>
      <c r="G87" t="n">
        <v>0.09333</v>
      </c>
    </row>
    <row r="88">
      <c r="A88" t="n">
        <v>108</v>
      </c>
      <c r="B88" t="n">
        <v>-0.3521</v>
      </c>
      <c r="C88" t="n">
        <v>17.8226</v>
      </c>
      <c r="D88" t="n">
        <v>0.08673</v>
      </c>
      <c r="E88" t="n">
        <v>-0.3833</v>
      </c>
      <c r="F88" t="n">
        <v>17.8407</v>
      </c>
      <c r="G88" t="n">
        <v>0.09352000000000001</v>
      </c>
    </row>
    <row r="89">
      <c r="A89" t="n">
        <v>108.5</v>
      </c>
      <c r="B89" t="n">
        <v>-0.3521</v>
      </c>
      <c r="C89" t="n">
        <v>17.9924</v>
      </c>
      <c r="D89" t="n">
        <v>0.08704000000000001</v>
      </c>
      <c r="E89" t="n">
        <v>-0.3833</v>
      </c>
      <c r="F89" t="n">
        <v>18.0277</v>
      </c>
      <c r="G89" t="n">
        <v>0.09371</v>
      </c>
    </row>
    <row r="90">
      <c r="A90" t="n">
        <v>109</v>
      </c>
      <c r="B90" t="n">
        <v>-0.3521</v>
      </c>
      <c r="C90" t="n">
        <v>18.1645</v>
      </c>
      <c r="D90" t="n">
        <v>0.08735999999999999</v>
      </c>
      <c r="E90" t="n">
        <v>-0.3833</v>
      </c>
      <c r="F90" t="n">
        <v>18.2174</v>
      </c>
      <c r="G90" t="n">
        <v>0.0939</v>
      </c>
    </row>
    <row r="91">
      <c r="A91" t="n">
        <v>109.5</v>
      </c>
      <c r="B91" t="n">
        <v>-0.3521</v>
      </c>
      <c r="C91" t="n">
        <v>18.339</v>
      </c>
      <c r="D91" t="n">
        <v>0.08767999999999999</v>
      </c>
      <c r="E91" t="n">
        <v>-0.3833</v>
      </c>
      <c r="F91" t="n">
        <v>18.4096</v>
      </c>
      <c r="G91" t="n">
        <v>0.09408999999999999</v>
      </c>
    </row>
    <row r="92">
      <c r="A92" t="n">
        <v>110</v>
      </c>
      <c r="B92" t="n">
        <v>-0.3521</v>
      </c>
      <c r="C92" t="n">
        <v>18.5158</v>
      </c>
      <c r="D92" t="n">
        <v>0.08799999999999999</v>
      </c>
      <c r="E92" t="n">
        <v>-0.3833</v>
      </c>
      <c r="F92" t="n">
        <v>18.6043</v>
      </c>
      <c r="G92" t="n">
        <v>0.09428</v>
      </c>
    </row>
    <row r="93">
      <c r="A93" t="n">
        <v>110.5</v>
      </c>
      <c r="B93" t="n">
        <v>-0.3521</v>
      </c>
      <c r="C93" t="n">
        <v>18.6948</v>
      </c>
      <c r="D93" t="n">
        <v>0.08832</v>
      </c>
      <c r="E93" t="n">
        <v>-0.3833</v>
      </c>
      <c r="F93" t="n">
        <v>18.8015</v>
      </c>
      <c r="G93" t="n">
        <v>0.09447999999999999</v>
      </c>
    </row>
    <row r="94">
      <c r="A94" t="n">
        <v>111</v>
      </c>
      <c r="B94" t="n">
        <v>-0.3521</v>
      </c>
      <c r="C94" t="n">
        <v>18.8759</v>
      </c>
      <c r="D94" t="n">
        <v>0.08864</v>
      </c>
      <c r="E94" t="n">
        <v>-0.3833</v>
      </c>
      <c r="F94" t="n">
        <v>19.0009</v>
      </c>
      <c r="G94" t="n">
        <v>0.09467</v>
      </c>
    </row>
    <row r="95">
      <c r="A95" t="n">
        <v>111.5</v>
      </c>
      <c r="B95" t="n">
        <v>-0.3521</v>
      </c>
      <c r="C95" t="n">
        <v>19.059</v>
      </c>
      <c r="D95" t="n">
        <v>0.08896</v>
      </c>
      <c r="E95" t="n">
        <v>-0.3833</v>
      </c>
      <c r="F95" t="n">
        <v>19.2024</v>
      </c>
      <c r="G95" t="n">
        <v>0.09487</v>
      </c>
    </row>
    <row r="96">
      <c r="A96" t="n">
        <v>112</v>
      </c>
      <c r="B96" t="n">
        <v>-0.3521</v>
      </c>
      <c r="C96" t="n">
        <v>19.2439</v>
      </c>
      <c r="D96" t="n">
        <v>0.08928</v>
      </c>
      <c r="E96" t="n">
        <v>-0.3833</v>
      </c>
      <c r="F96" t="n">
        <v>19.406</v>
      </c>
      <c r="G96" t="n">
        <v>0.09507</v>
      </c>
    </row>
    <row r="97">
      <c r="A97" t="n">
        <v>112.5</v>
      </c>
      <c r="B97" t="n">
        <v>-0.3521</v>
      </c>
      <c r="C97" t="n">
        <v>19.4304</v>
      </c>
      <c r="D97" t="n">
        <v>0.0896</v>
      </c>
      <c r="E97" t="n">
        <v>-0.3833</v>
      </c>
      <c r="F97" t="n">
        <v>19.6116</v>
      </c>
      <c r="G97" t="n">
        <v>0.09526999999999999</v>
      </c>
    </row>
    <row r="98">
      <c r="A98" t="n">
        <v>113</v>
      </c>
      <c r="B98" t="n">
        <v>-0.3521</v>
      </c>
      <c r="C98" t="n">
        <v>19.6185</v>
      </c>
      <c r="D98" t="n">
        <v>0.08991</v>
      </c>
      <c r="E98" t="n">
        <v>-0.3833</v>
      </c>
      <c r="F98" t="n">
        <v>19.819</v>
      </c>
      <c r="G98" t="n">
        <v>0.09546</v>
      </c>
    </row>
    <row r="99">
      <c r="A99" t="n">
        <v>113.5</v>
      </c>
      <c r="B99" t="n">
        <v>-0.3521</v>
      </c>
      <c r="C99" t="n">
        <v>19.8081</v>
      </c>
      <c r="D99" t="n">
        <v>0.09021999999999999</v>
      </c>
      <c r="E99" t="n">
        <v>-0.3833</v>
      </c>
      <c r="F99" t="n">
        <v>20.028</v>
      </c>
      <c r="G99" t="n">
        <v>0.09566</v>
      </c>
    </row>
    <row r="100">
      <c r="A100" t="n">
        <v>114</v>
      </c>
      <c r="B100" t="n">
        <v>-0.3521</v>
      </c>
      <c r="C100" t="n">
        <v>19.999</v>
      </c>
      <c r="D100" t="n">
        <v>0.09054</v>
      </c>
      <c r="E100" t="n">
        <v>-0.3833</v>
      </c>
      <c r="F100" t="n">
        <v>20.2385</v>
      </c>
      <c r="G100" t="n">
        <v>0.09586</v>
      </c>
    </row>
    <row r="101">
      <c r="A101" t="n">
        <v>114.5</v>
      </c>
      <c r="B101" t="n">
        <v>-0.3521</v>
      </c>
      <c r="C101" t="n">
        <v>20.1912</v>
      </c>
      <c r="D101" t="n">
        <v>0.09085</v>
      </c>
      <c r="E101" t="n">
        <v>-0.3833</v>
      </c>
      <c r="F101" t="n">
        <v>20.4502</v>
      </c>
      <c r="G101" t="n">
        <v>0.09606000000000001</v>
      </c>
    </row>
    <row r="102">
      <c r="A102" t="n">
        <v>115</v>
      </c>
      <c r="B102" t="n">
        <v>-0.3521</v>
      </c>
      <c r="C102" t="n">
        <v>20.3846</v>
      </c>
      <c r="D102" t="n">
        <v>0.09116</v>
      </c>
      <c r="E102" t="n">
        <v>-0.3833</v>
      </c>
      <c r="F102" t="n">
        <v>20.6629</v>
      </c>
      <c r="G102" t="n">
        <v>0.09626</v>
      </c>
    </row>
    <row r="103">
      <c r="A103" t="n">
        <v>115.5</v>
      </c>
      <c r="B103" t="n">
        <v>-0.3521</v>
      </c>
      <c r="C103" t="n">
        <v>20.5789</v>
      </c>
      <c r="D103" t="n">
        <v>0.09147</v>
      </c>
      <c r="E103" t="n">
        <v>-0.3833</v>
      </c>
      <c r="F103" t="n">
        <v>20.8766</v>
      </c>
      <c r="G103" t="n">
        <v>0.09646</v>
      </c>
    </row>
    <row r="104">
      <c r="A104" t="n">
        <v>116</v>
      </c>
      <c r="B104" t="n">
        <v>-0.3521</v>
      </c>
      <c r="C104" t="n">
        <v>20.7741</v>
      </c>
      <c r="D104" t="n">
        <v>0.09177</v>
      </c>
      <c r="E104" t="n">
        <v>-0.3833</v>
      </c>
      <c r="F104" t="n">
        <v>21.0909</v>
      </c>
      <c r="G104" t="n">
        <v>0.09666</v>
      </c>
    </row>
    <row r="105">
      <c r="A105" t="n">
        <v>116.5</v>
      </c>
      <c r="B105" t="n">
        <v>-0.3521</v>
      </c>
      <c r="C105" t="n">
        <v>20.97</v>
      </c>
      <c r="D105" t="n">
        <v>0.09208</v>
      </c>
      <c r="E105" t="n">
        <v>-0.3833</v>
      </c>
      <c r="F105" t="n">
        <v>21.3059</v>
      </c>
      <c r="G105" t="n">
        <v>0.09686</v>
      </c>
    </row>
    <row r="106">
      <c r="A106" t="n">
        <v>117</v>
      </c>
      <c r="B106" t="n">
        <v>-0.3521</v>
      </c>
      <c r="C106" t="n">
        <v>21.1666</v>
      </c>
      <c r="D106" t="n">
        <v>0.09239</v>
      </c>
      <c r="E106" t="n">
        <v>-0.3833</v>
      </c>
      <c r="F106" t="n">
        <v>21.5213</v>
      </c>
      <c r="G106" t="n">
        <v>0.09707</v>
      </c>
    </row>
    <row r="107">
      <c r="A107" t="n">
        <v>117.5</v>
      </c>
      <c r="B107" t="n">
        <v>-0.3521</v>
      </c>
      <c r="C107" t="n">
        <v>21.3636</v>
      </c>
      <c r="D107" t="n">
        <v>0.0927</v>
      </c>
      <c r="E107" t="n">
        <v>-0.3833</v>
      </c>
      <c r="F107" t="n">
        <v>21.737</v>
      </c>
      <c r="G107" t="n">
        <v>0.09727</v>
      </c>
    </row>
    <row r="108">
      <c r="A108" t="n">
        <v>118</v>
      </c>
      <c r="B108" t="n">
        <v>-0.3521</v>
      </c>
      <c r="C108" t="n">
        <v>21.5611</v>
      </c>
      <c r="D108" t="n">
        <v>0.093</v>
      </c>
      <c r="E108" t="n">
        <v>-0.3833</v>
      </c>
      <c r="F108" t="n">
        <v>21.9529</v>
      </c>
      <c r="G108" t="n">
        <v>0.09747</v>
      </c>
    </row>
    <row r="109">
      <c r="A109" t="n">
        <v>118.5</v>
      </c>
      <c r="B109" t="n">
        <v>-0.3521</v>
      </c>
      <c r="C109" t="n">
        <v>21.7588</v>
      </c>
      <c r="D109" t="n">
        <v>0.09331</v>
      </c>
      <c r="E109" t="n">
        <v>-0.3833</v>
      </c>
      <c r="F109" t="n">
        <v>22.169</v>
      </c>
      <c r="G109" t="n">
        <v>0.09767000000000001</v>
      </c>
    </row>
    <row r="110">
      <c r="A110" t="n">
        <v>119</v>
      </c>
      <c r="B110" t="n">
        <v>-0.3521</v>
      </c>
      <c r="C110" t="n">
        <v>21.9568</v>
      </c>
      <c r="D110" t="n">
        <v>0.09361999999999999</v>
      </c>
      <c r="E110" t="n">
        <v>-0.3833</v>
      </c>
      <c r="F110" t="n">
        <v>22.3851</v>
      </c>
      <c r="G110" t="n">
        <v>0.09787999999999999</v>
      </c>
    </row>
    <row r="111">
      <c r="A111" t="n">
        <v>119.5</v>
      </c>
      <c r="B111" t="n">
        <v>-0.3521</v>
      </c>
      <c r="C111" t="n">
        <v>22.1549</v>
      </c>
      <c r="D111" t="n">
        <v>0.09393</v>
      </c>
      <c r="E111" t="n">
        <v>-0.3833</v>
      </c>
      <c r="F111" t="n">
        <v>22.6012</v>
      </c>
      <c r="G111" t="n">
        <v>0.09808</v>
      </c>
    </row>
    <row r="112">
      <c r="A112" t="n">
        <v>120</v>
      </c>
      <c r="B112" t="n">
        <v>-0.3521</v>
      </c>
      <c r="C112" t="n">
        <v>22.353</v>
      </c>
      <c r="D112" t="n">
        <v>0.09424</v>
      </c>
      <c r="E112" t="n">
        <v>-0.3833</v>
      </c>
      <c r="F112" t="n">
        <v>22.8173</v>
      </c>
      <c r="G112" t="n">
        <v>0.09828000000000001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F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ระบบธุรการชั้นเรียนอนุบาล</dc:creator>
  <dc:title xmlns:dc="http://purl.org/dc/elements/1.1/">ระบบธุรการชั้นเรียนอนุบาล ปีการศึกษา 2569</dc:title>
  <dc:subject xmlns:dc="http://purl.org/dc/elements/1.1/">เวอร์ชัน 1.0 ฉบับทดลองใช้ฟรี (5 คน)</dc:subject>
  <dcterms:created xmlns:dcterms="http://purl.org/dc/terms/" xmlns:xsi="http://www.w3.org/2001/XMLSchema-instance" xsi:type="dcterms:W3CDTF">2026-10-24T18:39:22Z</dcterms:created>
  <dcterms:modified xmlns:dcterms="http://purl.org/dc/terms/" xmlns:xsi="http://www.w3.org/2001/XMLSchema-instance" xsi:type="dcterms:W3CDTF">2026-10-24T18:39:33Z</dcterms:modified>
  <cp:lastModifiedBy>ระบบธุรการชั้นเรียนอนุบาล</cp:lastModifiedBy>
</cp:coreProperties>
</file>